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har01\Documents\Training brainstorming\2020\Lease Accounting templates\"/>
    </mc:Choice>
  </mc:AlternateContent>
  <xr:revisionPtr revIDLastSave="0" documentId="13_ncr:1_{300E5B1C-4C64-4537-AB13-55D9E910073D}" xr6:coauthVersionLast="46" xr6:coauthVersionMax="46" xr10:uidLastSave="{00000000-0000-0000-0000-000000000000}"/>
  <bookViews>
    <workbookView xWindow="-120" yWindow="-120" windowWidth="29040" windowHeight="15840" activeTab="2" xr2:uid="{22246C99-58FD-4DD4-85D4-2E409C6F25DF}"/>
  </bookViews>
  <sheets>
    <sheet name="Lessor Summary by (department)" sheetId="1" r:id="rId1"/>
    <sheet name="PY Lessee Journal Entry Item #0" sheetId="2" r:id="rId2"/>
    <sheet name="CY NEW Lessee Entries" sheetId="5" r:id="rId3"/>
  </sheets>
  <definedNames>
    <definedName name="_xlnm.Print_Titles" localSheetId="0">'Lessor Summary by (department)'!$A:$B,'Lessor Summary by (department)'!$1:$7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64" i="5" l="1"/>
  <c r="X8" i="5"/>
  <c r="X7" i="5"/>
  <c r="Y7" i="5"/>
  <c r="Y5" i="5"/>
  <c r="Y6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E31" i="2"/>
  <c r="E86" i="2"/>
  <c r="C82" i="2"/>
  <c r="C86" i="2" s="1"/>
  <c r="C19" i="2"/>
  <c r="F9" i="2"/>
  <c r="C72" i="5"/>
  <c r="F9" i="5"/>
  <c r="Z5" i="5" s="1"/>
  <c r="F10" i="5"/>
  <c r="C20" i="5" s="1"/>
  <c r="V6" i="5"/>
  <c r="M6" i="5"/>
  <c r="C9" i="5"/>
  <c r="C19" i="5" s="1"/>
  <c r="F3" i="5"/>
  <c r="C3" i="5"/>
  <c r="C4" i="5"/>
  <c r="O5" i="2" l="1"/>
  <c r="Z5" i="2"/>
  <c r="C63" i="5"/>
  <c r="C62" i="5"/>
  <c r="C66" i="5" s="1"/>
  <c r="F13" i="5"/>
  <c r="E64" i="5" s="1"/>
  <c r="E66" i="5" s="1"/>
  <c r="O5" i="5" l="1"/>
  <c r="E21" i="5"/>
  <c r="S8" i="1"/>
  <c r="T8" i="1"/>
  <c r="X8" i="1" s="1"/>
  <c r="U8" i="1"/>
  <c r="V8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W6" i="5"/>
  <c r="B4" i="5"/>
  <c r="B3" i="5"/>
  <c r="W7" i="5" l="1"/>
  <c r="W8" i="5"/>
  <c r="W9" i="5" l="1"/>
  <c r="W10" i="5" l="1"/>
  <c r="W11" i="5" l="1"/>
  <c r="W12" i="5" l="1"/>
  <c r="W13" i="5" l="1"/>
  <c r="W14" i="5" l="1"/>
  <c r="W15" i="5" l="1"/>
  <c r="W16" i="5" l="1"/>
  <c r="W17" i="5" l="1"/>
  <c r="AB17" i="5" s="1"/>
  <c r="C29" i="5" s="1"/>
  <c r="W18" i="5" l="1"/>
  <c r="W19" i="5" l="1"/>
  <c r="W20" i="5" l="1"/>
  <c r="W21" i="5" l="1"/>
  <c r="W22" i="5" l="1"/>
  <c r="W23" i="5" l="1"/>
  <c r="W24" i="5" l="1"/>
  <c r="W25" i="5" l="1"/>
  <c r="W26" i="5" l="1"/>
  <c r="W27" i="5" l="1"/>
  <c r="W28" i="5" l="1"/>
  <c r="W29" i="5" l="1"/>
  <c r="W30" i="5" l="1"/>
  <c r="W31" i="5" l="1"/>
  <c r="W32" i="5" l="1"/>
  <c r="W33" i="5" l="1"/>
  <c r="W34" i="5" l="1"/>
  <c r="W35" i="5" l="1"/>
  <c r="W36" i="5" l="1"/>
  <c r="W37" i="5" l="1"/>
  <c r="W38" i="5" l="1"/>
  <c r="W39" i="5" l="1"/>
  <c r="W40" i="5" l="1"/>
  <c r="W41" i="5" l="1"/>
  <c r="W42" i="5" l="1"/>
  <c r="W43" i="5" l="1"/>
  <c r="W44" i="5" l="1"/>
  <c r="W45" i="5" l="1"/>
  <c r="W46" i="5" l="1"/>
  <c r="W47" i="5" l="1"/>
  <c r="W48" i="5" l="1"/>
  <c r="W49" i="5" l="1"/>
  <c r="W50" i="5" l="1"/>
  <c r="W51" i="5" l="1"/>
  <c r="W52" i="5" l="1"/>
  <c r="W53" i="5" l="1"/>
  <c r="W54" i="5" l="1"/>
  <c r="W55" i="5" l="1"/>
  <c r="W56" i="5" l="1"/>
  <c r="W57" i="5" l="1"/>
  <c r="W58" i="5" l="1"/>
  <c r="W59" i="5" l="1"/>
  <c r="W60" i="5" l="1"/>
  <c r="W61" i="5" l="1"/>
  <c r="W62" i="5" l="1"/>
  <c r="W63" i="5" l="1"/>
  <c r="W64" i="5" l="1"/>
  <c r="Y5" i="2" l="1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W6" i="2"/>
  <c r="Y6" i="2" s="1"/>
  <c r="E33" i="2"/>
  <c r="M6" i="2"/>
  <c r="W7" i="2" l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C10" i="2" l="1"/>
  <c r="C4" i="2"/>
  <c r="B4" i="2"/>
  <c r="B3" i="2"/>
  <c r="C3" i="2"/>
  <c r="U7" i="1"/>
  <c r="S7" i="1"/>
  <c r="T7" i="1"/>
  <c r="V108" i="1"/>
  <c r="U108" i="1"/>
  <c r="T108" i="1"/>
  <c r="S108" i="1"/>
  <c r="V107" i="1"/>
  <c r="U107" i="1"/>
  <c r="T107" i="1"/>
  <c r="S107" i="1"/>
  <c r="V106" i="1"/>
  <c r="U106" i="1"/>
  <c r="T106" i="1"/>
  <c r="S106" i="1"/>
  <c r="V105" i="1"/>
  <c r="U105" i="1"/>
  <c r="T105" i="1"/>
  <c r="S105" i="1"/>
  <c r="V104" i="1"/>
  <c r="U104" i="1"/>
  <c r="T104" i="1"/>
  <c r="S104" i="1"/>
  <c r="V103" i="1"/>
  <c r="U103" i="1"/>
  <c r="T103" i="1"/>
  <c r="S103" i="1"/>
  <c r="V102" i="1"/>
  <c r="U102" i="1"/>
  <c r="T102" i="1"/>
  <c r="S102" i="1"/>
  <c r="V101" i="1"/>
  <c r="U101" i="1"/>
  <c r="T101" i="1"/>
  <c r="S101" i="1"/>
  <c r="V100" i="1"/>
  <c r="U100" i="1"/>
  <c r="T100" i="1"/>
  <c r="S100" i="1"/>
  <c r="V99" i="1"/>
  <c r="U99" i="1"/>
  <c r="T99" i="1"/>
  <c r="S99" i="1"/>
  <c r="V98" i="1"/>
  <c r="U98" i="1"/>
  <c r="T98" i="1"/>
  <c r="S98" i="1"/>
  <c r="V97" i="1"/>
  <c r="U97" i="1"/>
  <c r="T97" i="1"/>
  <c r="S97" i="1"/>
  <c r="V96" i="1"/>
  <c r="U96" i="1"/>
  <c r="T96" i="1"/>
  <c r="S96" i="1"/>
  <c r="V95" i="1"/>
  <c r="U95" i="1"/>
  <c r="T95" i="1"/>
  <c r="S95" i="1"/>
  <c r="V94" i="1"/>
  <c r="U94" i="1"/>
  <c r="T94" i="1"/>
  <c r="S94" i="1"/>
  <c r="V93" i="1"/>
  <c r="U93" i="1"/>
  <c r="T93" i="1"/>
  <c r="S93" i="1"/>
  <c r="V92" i="1"/>
  <c r="U92" i="1"/>
  <c r="T92" i="1"/>
  <c r="S92" i="1"/>
  <c r="V91" i="1"/>
  <c r="U91" i="1"/>
  <c r="T91" i="1"/>
  <c r="S91" i="1"/>
  <c r="V90" i="1"/>
  <c r="U90" i="1"/>
  <c r="T90" i="1"/>
  <c r="S90" i="1"/>
  <c r="V89" i="1"/>
  <c r="U89" i="1"/>
  <c r="T89" i="1"/>
  <c r="S89" i="1"/>
  <c r="V88" i="1"/>
  <c r="U88" i="1"/>
  <c r="T88" i="1"/>
  <c r="S88" i="1"/>
  <c r="V87" i="1"/>
  <c r="U87" i="1"/>
  <c r="T87" i="1"/>
  <c r="S87" i="1"/>
  <c r="V86" i="1"/>
  <c r="U86" i="1"/>
  <c r="T86" i="1"/>
  <c r="S86" i="1"/>
  <c r="V85" i="1"/>
  <c r="U85" i="1"/>
  <c r="T85" i="1"/>
  <c r="S85" i="1"/>
  <c r="V84" i="1"/>
  <c r="U84" i="1"/>
  <c r="T84" i="1"/>
  <c r="S84" i="1"/>
  <c r="V83" i="1"/>
  <c r="U83" i="1"/>
  <c r="T83" i="1"/>
  <c r="S83" i="1"/>
  <c r="V82" i="1"/>
  <c r="U82" i="1"/>
  <c r="T82" i="1"/>
  <c r="S82" i="1"/>
  <c r="V81" i="1"/>
  <c r="U81" i="1"/>
  <c r="T81" i="1"/>
  <c r="S81" i="1"/>
  <c r="V80" i="1"/>
  <c r="U80" i="1"/>
  <c r="T80" i="1"/>
  <c r="S80" i="1"/>
  <c r="V79" i="1"/>
  <c r="U79" i="1"/>
  <c r="T79" i="1"/>
  <c r="S79" i="1"/>
  <c r="V78" i="1"/>
  <c r="U78" i="1"/>
  <c r="T78" i="1"/>
  <c r="S78" i="1"/>
  <c r="V77" i="1"/>
  <c r="U77" i="1"/>
  <c r="T77" i="1"/>
  <c r="S77" i="1"/>
  <c r="V76" i="1"/>
  <c r="U76" i="1"/>
  <c r="T76" i="1"/>
  <c r="S76" i="1"/>
  <c r="V75" i="1"/>
  <c r="U75" i="1"/>
  <c r="T75" i="1"/>
  <c r="S75" i="1"/>
  <c r="V74" i="1"/>
  <c r="U74" i="1"/>
  <c r="T74" i="1"/>
  <c r="S74" i="1"/>
  <c r="V73" i="1"/>
  <c r="U73" i="1"/>
  <c r="T73" i="1"/>
  <c r="S73" i="1"/>
  <c r="V72" i="1"/>
  <c r="U72" i="1"/>
  <c r="T72" i="1"/>
  <c r="S72" i="1"/>
  <c r="V71" i="1"/>
  <c r="U71" i="1"/>
  <c r="T71" i="1"/>
  <c r="S71" i="1"/>
  <c r="V70" i="1"/>
  <c r="U70" i="1"/>
  <c r="T70" i="1"/>
  <c r="S70" i="1"/>
  <c r="V69" i="1"/>
  <c r="U69" i="1"/>
  <c r="T69" i="1"/>
  <c r="S69" i="1"/>
  <c r="V68" i="1"/>
  <c r="U68" i="1"/>
  <c r="T68" i="1"/>
  <c r="S68" i="1"/>
  <c r="V67" i="1"/>
  <c r="U67" i="1"/>
  <c r="T67" i="1"/>
  <c r="S67" i="1"/>
  <c r="V66" i="1"/>
  <c r="U66" i="1"/>
  <c r="T66" i="1"/>
  <c r="S66" i="1"/>
  <c r="V65" i="1"/>
  <c r="U65" i="1"/>
  <c r="T65" i="1"/>
  <c r="S65" i="1"/>
  <c r="V64" i="1"/>
  <c r="U64" i="1"/>
  <c r="T64" i="1"/>
  <c r="S64" i="1"/>
  <c r="V63" i="1"/>
  <c r="U63" i="1"/>
  <c r="T63" i="1"/>
  <c r="S63" i="1"/>
  <c r="V62" i="1"/>
  <c r="U62" i="1"/>
  <c r="T62" i="1"/>
  <c r="S62" i="1"/>
  <c r="V61" i="1"/>
  <c r="U61" i="1"/>
  <c r="T61" i="1"/>
  <c r="S61" i="1"/>
  <c r="V60" i="1"/>
  <c r="U60" i="1"/>
  <c r="T60" i="1"/>
  <c r="S60" i="1"/>
  <c r="V59" i="1"/>
  <c r="U59" i="1"/>
  <c r="T59" i="1"/>
  <c r="S59" i="1"/>
  <c r="V58" i="1"/>
  <c r="U58" i="1"/>
  <c r="T58" i="1"/>
  <c r="S58" i="1"/>
  <c r="V57" i="1"/>
  <c r="U57" i="1"/>
  <c r="T57" i="1"/>
  <c r="S57" i="1"/>
  <c r="V56" i="1"/>
  <c r="U56" i="1"/>
  <c r="T56" i="1"/>
  <c r="S56" i="1"/>
  <c r="V55" i="1"/>
  <c r="U55" i="1"/>
  <c r="T55" i="1"/>
  <c r="S55" i="1"/>
  <c r="V54" i="1"/>
  <c r="U54" i="1"/>
  <c r="T54" i="1"/>
  <c r="S54" i="1"/>
  <c r="V53" i="1"/>
  <c r="U53" i="1"/>
  <c r="T53" i="1"/>
  <c r="S53" i="1"/>
  <c r="V52" i="1"/>
  <c r="U52" i="1"/>
  <c r="T52" i="1"/>
  <c r="S52" i="1"/>
  <c r="V51" i="1"/>
  <c r="U51" i="1"/>
  <c r="T51" i="1"/>
  <c r="S51" i="1"/>
  <c r="V50" i="1"/>
  <c r="U50" i="1"/>
  <c r="T50" i="1"/>
  <c r="S50" i="1"/>
  <c r="V49" i="1"/>
  <c r="U49" i="1"/>
  <c r="T49" i="1"/>
  <c r="S49" i="1"/>
  <c r="V48" i="1"/>
  <c r="U48" i="1"/>
  <c r="T48" i="1"/>
  <c r="S48" i="1"/>
  <c r="V47" i="1"/>
  <c r="U47" i="1"/>
  <c r="T47" i="1"/>
  <c r="S47" i="1"/>
  <c r="V46" i="1"/>
  <c r="U46" i="1"/>
  <c r="T46" i="1"/>
  <c r="S46" i="1"/>
  <c r="V45" i="1"/>
  <c r="U45" i="1"/>
  <c r="T45" i="1"/>
  <c r="S45" i="1"/>
  <c r="V44" i="1"/>
  <c r="U44" i="1"/>
  <c r="T44" i="1"/>
  <c r="S44" i="1"/>
  <c r="V43" i="1"/>
  <c r="U43" i="1"/>
  <c r="T43" i="1"/>
  <c r="S43" i="1"/>
  <c r="V42" i="1"/>
  <c r="U42" i="1"/>
  <c r="T42" i="1"/>
  <c r="S42" i="1"/>
  <c r="V41" i="1"/>
  <c r="U41" i="1"/>
  <c r="T41" i="1"/>
  <c r="S41" i="1"/>
  <c r="V40" i="1"/>
  <c r="U40" i="1"/>
  <c r="T40" i="1"/>
  <c r="S40" i="1"/>
  <c r="V39" i="1"/>
  <c r="U39" i="1"/>
  <c r="T39" i="1"/>
  <c r="S39" i="1"/>
  <c r="V38" i="1"/>
  <c r="U38" i="1"/>
  <c r="T38" i="1"/>
  <c r="S38" i="1"/>
  <c r="V37" i="1"/>
  <c r="U37" i="1"/>
  <c r="T37" i="1"/>
  <c r="X37" i="1" s="1"/>
  <c r="S37" i="1"/>
  <c r="V36" i="1"/>
  <c r="U36" i="1"/>
  <c r="T36" i="1"/>
  <c r="S36" i="1"/>
  <c r="V35" i="1"/>
  <c r="U35" i="1"/>
  <c r="T35" i="1"/>
  <c r="S35" i="1"/>
  <c r="V34" i="1"/>
  <c r="U34" i="1"/>
  <c r="T34" i="1"/>
  <c r="S34" i="1"/>
  <c r="V33" i="1"/>
  <c r="U33" i="1"/>
  <c r="T33" i="1"/>
  <c r="S33" i="1"/>
  <c r="V32" i="1"/>
  <c r="U32" i="1"/>
  <c r="T32" i="1"/>
  <c r="S32" i="1"/>
  <c r="V31" i="1"/>
  <c r="U31" i="1"/>
  <c r="T31" i="1"/>
  <c r="S31" i="1"/>
  <c r="V30" i="1"/>
  <c r="U30" i="1"/>
  <c r="T30" i="1"/>
  <c r="S30" i="1"/>
  <c r="V29" i="1"/>
  <c r="U29" i="1"/>
  <c r="T29" i="1"/>
  <c r="S29" i="1"/>
  <c r="V28" i="1"/>
  <c r="U28" i="1"/>
  <c r="T28" i="1"/>
  <c r="S28" i="1"/>
  <c r="V27" i="1"/>
  <c r="U27" i="1"/>
  <c r="T27" i="1"/>
  <c r="S27" i="1"/>
  <c r="V26" i="1"/>
  <c r="U26" i="1"/>
  <c r="T26" i="1"/>
  <c r="S26" i="1"/>
  <c r="V25" i="1"/>
  <c r="U25" i="1"/>
  <c r="T25" i="1"/>
  <c r="S25" i="1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V14" i="1"/>
  <c r="U14" i="1"/>
  <c r="T14" i="1"/>
  <c r="S14" i="1"/>
  <c r="V13" i="1"/>
  <c r="U13" i="1"/>
  <c r="T13" i="1"/>
  <c r="S13" i="1"/>
  <c r="V12" i="1"/>
  <c r="U12" i="1"/>
  <c r="T12" i="1"/>
  <c r="S12" i="1"/>
  <c r="V11" i="1"/>
  <c r="U11" i="1"/>
  <c r="T11" i="1"/>
  <c r="S11" i="1"/>
  <c r="V10" i="1"/>
  <c r="U10" i="1"/>
  <c r="T10" i="1"/>
  <c r="S10" i="1"/>
  <c r="V9" i="1"/>
  <c r="U9" i="1"/>
  <c r="T9" i="1"/>
  <c r="S9" i="1"/>
  <c r="J7" i="1"/>
  <c r="V7" i="1"/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F3" i="2"/>
  <c r="X7" i="1"/>
  <c r="C12" i="5" l="1"/>
  <c r="C9" i="2"/>
  <c r="Z6" i="2"/>
  <c r="C29" i="2" l="1"/>
  <c r="C92" i="2"/>
  <c r="C12" i="2"/>
  <c r="C33" i="2"/>
  <c r="N6" i="5"/>
  <c r="C23" i="5"/>
  <c r="Z6" i="5"/>
  <c r="X7" i="2"/>
  <c r="Y7" i="2" s="1"/>
  <c r="N6" i="2"/>
  <c r="O6" i="2" s="1"/>
  <c r="C96" i="2" l="1"/>
  <c r="E94" i="2"/>
  <c r="E96" i="2" s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O6" i="5"/>
  <c r="E23" i="5"/>
  <c r="Z7" i="2"/>
  <c r="X8" i="2" s="1"/>
  <c r="Y8" i="2" s="1"/>
  <c r="Z8" i="2" s="1"/>
  <c r="X9" i="2" s="1"/>
  <c r="Y9" i="2" s="1"/>
  <c r="Z9" i="2" s="1"/>
  <c r="X10" i="2" s="1"/>
  <c r="Y10" i="2" s="1"/>
  <c r="Z10" i="2" s="1"/>
  <c r="N7" i="5"/>
  <c r="N8" i="5" s="1"/>
  <c r="N9" i="5" s="1"/>
  <c r="N10" i="5" s="1"/>
  <c r="N11" i="5" s="1"/>
  <c r="N12" i="5" s="1"/>
  <c r="N13" i="5" s="1"/>
  <c r="N14" i="5" s="1"/>
  <c r="N15" i="5" s="1"/>
  <c r="N16" i="5" s="1"/>
  <c r="O7" i="2" l="1"/>
  <c r="O8" i="2" s="1"/>
  <c r="O9" i="2" s="1"/>
  <c r="O10" i="2" s="1"/>
  <c r="O11" i="2" s="1"/>
  <c r="O12" i="2" s="1"/>
  <c r="O13" i="2" s="1"/>
  <c r="O14" i="2" s="1"/>
  <c r="O15" i="2" s="1"/>
  <c r="O16" i="2" s="1"/>
  <c r="Q15" i="2"/>
  <c r="Z7" i="5"/>
  <c r="O7" i="5"/>
  <c r="O8" i="5" s="1"/>
  <c r="O9" i="5" s="1"/>
  <c r="O10" i="5" s="1"/>
  <c r="O11" i="5" s="1"/>
  <c r="O12" i="5" s="1"/>
  <c r="O13" i="5" s="1"/>
  <c r="O14" i="5" s="1"/>
  <c r="O15" i="5" s="1"/>
  <c r="O16" i="5" s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N17" i="5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X11" i="2"/>
  <c r="Y11" i="2" s="1"/>
  <c r="Z11" i="2" s="1"/>
  <c r="Q27" i="2"/>
  <c r="Q28" i="2" s="1"/>
  <c r="C60" i="2" s="1"/>
  <c r="N29" i="2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Y8" i="5" l="1"/>
  <c r="E61" i="2"/>
  <c r="E64" i="2" s="1"/>
  <c r="C64" i="2"/>
  <c r="Q17" i="5"/>
  <c r="O17" i="5"/>
  <c r="N29" i="5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X12" i="2"/>
  <c r="Y12" i="2" s="1"/>
  <c r="Z12" i="2" s="1"/>
  <c r="N41" i="2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O29" i="2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Q39" i="2"/>
  <c r="C70" i="2" s="1"/>
  <c r="C74" i="2" l="1"/>
  <c r="E71" i="2"/>
  <c r="E74" i="2" s="1"/>
  <c r="O18" i="5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C50" i="5"/>
  <c r="C40" i="5"/>
  <c r="O29" i="5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Z8" i="5"/>
  <c r="X9" i="5" s="1"/>
  <c r="N41" i="5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X13" i="2"/>
  <c r="Y13" i="2" s="1"/>
  <c r="Z13" i="2" s="1"/>
  <c r="Q51" i="2"/>
  <c r="N53" i="2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Y9" i="5" l="1"/>
  <c r="C44" i="5"/>
  <c r="E41" i="5"/>
  <c r="E44" i="5" s="1"/>
  <c r="E51" i="5"/>
  <c r="E54" i="5" s="1"/>
  <c r="C54" i="5"/>
  <c r="N53" i="5"/>
  <c r="N54" i="5" s="1"/>
  <c r="N55" i="5" s="1"/>
  <c r="N56" i="5" s="1"/>
  <c r="N57" i="5" s="1"/>
  <c r="N58" i="5" s="1"/>
  <c r="N59" i="5" s="1"/>
  <c r="N60" i="5" s="1"/>
  <c r="N61" i="5" s="1"/>
  <c r="N62" i="5" s="1"/>
  <c r="N63" i="5" s="1"/>
  <c r="N64" i="5" s="1"/>
  <c r="O41" i="5"/>
  <c r="O42" i="5" s="1"/>
  <c r="O43" i="5" s="1"/>
  <c r="O44" i="5" s="1"/>
  <c r="O45" i="5" s="1"/>
  <c r="O46" i="5" s="1"/>
  <c r="O47" i="5" s="1"/>
  <c r="O48" i="5" s="1"/>
  <c r="O49" i="5" s="1"/>
  <c r="O50" i="5" s="1"/>
  <c r="O51" i="5" s="1"/>
  <c r="O52" i="5" s="1"/>
  <c r="X14" i="2"/>
  <c r="Y14" i="2" s="1"/>
  <c r="Z14" i="2" s="1"/>
  <c r="Q63" i="2"/>
  <c r="N65" i="2"/>
  <c r="Q65" i="2" s="1"/>
  <c r="O53" i="2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Z9" i="5" l="1"/>
  <c r="X10" i="5" s="1"/>
  <c r="O53" i="5"/>
  <c r="O54" i="5" s="1"/>
  <c r="O55" i="5" s="1"/>
  <c r="O56" i="5" s="1"/>
  <c r="O57" i="5" s="1"/>
  <c r="O58" i="5" s="1"/>
  <c r="O59" i="5" s="1"/>
  <c r="O60" i="5" s="1"/>
  <c r="O61" i="5" s="1"/>
  <c r="O62" i="5" s="1"/>
  <c r="O63" i="5" s="1"/>
  <c r="O64" i="5" s="1"/>
  <c r="O65" i="2"/>
  <c r="N65" i="5"/>
  <c r="X15" i="2"/>
  <c r="Y15" i="2" s="1"/>
  <c r="AB15" i="2" s="1"/>
  <c r="Y10" i="5" l="1"/>
  <c r="Z10" i="5" s="1"/>
  <c r="X11" i="5" s="1"/>
  <c r="Z15" i="2"/>
  <c r="X16" i="2" s="1"/>
  <c r="Y16" i="2" s="1"/>
  <c r="O65" i="5"/>
  <c r="Y11" i="5" l="1"/>
  <c r="Z16" i="2"/>
  <c r="X17" i="2" s="1"/>
  <c r="Y17" i="2" s="1"/>
  <c r="Z17" i="2" s="1"/>
  <c r="Z11" i="5" l="1"/>
  <c r="X12" i="5" s="1"/>
  <c r="X18" i="2"/>
  <c r="Y18" i="2" s="1"/>
  <c r="Z18" i="2" s="1"/>
  <c r="Y12" i="5" l="1"/>
  <c r="Z12" i="5" s="1"/>
  <c r="X13" i="5" s="1"/>
  <c r="X19" i="2"/>
  <c r="Y19" i="2" s="1"/>
  <c r="Z19" i="2" s="1"/>
  <c r="Y13" i="5" l="1"/>
  <c r="Z13" i="5" s="1"/>
  <c r="X14" i="5" s="1"/>
  <c r="C33" i="5"/>
  <c r="X20" i="2"/>
  <c r="Y20" i="2" s="1"/>
  <c r="Z20" i="2" s="1"/>
  <c r="Y14" i="5" l="1"/>
  <c r="X21" i="2"/>
  <c r="Y21" i="2" s="1"/>
  <c r="Z21" i="2" s="1"/>
  <c r="Z14" i="5" l="1"/>
  <c r="X15" i="5" s="1"/>
  <c r="X22" i="2"/>
  <c r="Y22" i="2" s="1"/>
  <c r="Z22" i="2" s="1"/>
  <c r="X23" i="2" l="1"/>
  <c r="Y23" i="2" s="1"/>
  <c r="Z23" i="2" s="1"/>
  <c r="Y15" i="5" l="1"/>
  <c r="Z15" i="5" s="1"/>
  <c r="X16" i="5" s="1"/>
  <c r="C76" i="5"/>
  <c r="E74" i="5"/>
  <c r="X24" i="2"/>
  <c r="Y24" i="2" s="1"/>
  <c r="Z24" i="2" s="1"/>
  <c r="Y16" i="5" l="1"/>
  <c r="Z16" i="5" s="1"/>
  <c r="X25" i="2"/>
  <c r="Y25" i="2" s="1"/>
  <c r="Z25" i="2" s="1"/>
  <c r="X17" i="5" l="1"/>
  <c r="AC17" i="5" s="1"/>
  <c r="X26" i="2"/>
  <c r="Y26" i="2" s="1"/>
  <c r="Z26" i="2" s="1"/>
  <c r="Y17" i="5" l="1"/>
  <c r="AD17" i="5" s="1"/>
  <c r="E31" i="5" s="1"/>
  <c r="Z17" i="5"/>
  <c r="X18" i="5" s="1"/>
  <c r="E73" i="5"/>
  <c r="E76" i="5" s="1"/>
  <c r="E30" i="5"/>
  <c r="X27" i="2"/>
  <c r="Y27" i="2" s="1"/>
  <c r="Y18" i="5" l="1"/>
  <c r="Z18" i="5" s="1"/>
  <c r="X19" i="5" s="1"/>
  <c r="E33" i="5"/>
  <c r="Z27" i="2"/>
  <c r="AB27" i="2"/>
  <c r="AB28" i="2" s="1"/>
  <c r="X28" i="2"/>
  <c r="Y19" i="5" l="1"/>
  <c r="Z19" i="5" s="1"/>
  <c r="X20" i="5" s="1"/>
  <c r="E103" i="2"/>
  <c r="E106" i="2" s="1"/>
  <c r="E40" i="2"/>
  <c r="E43" i="2"/>
  <c r="Y28" i="2"/>
  <c r="Z28" i="2" s="1"/>
  <c r="X29" i="2" s="1"/>
  <c r="Y20" i="5" l="1"/>
  <c r="Z20" i="5" s="1"/>
  <c r="X21" i="5" s="1"/>
  <c r="C39" i="2"/>
  <c r="C43" i="2" s="1"/>
  <c r="C102" i="2"/>
  <c r="C106" i="2" s="1"/>
  <c r="Y29" i="2"/>
  <c r="Z29" i="2" s="1"/>
  <c r="X30" i="2" s="1"/>
  <c r="Y30" i="2" s="1"/>
  <c r="Y21" i="5" l="1"/>
  <c r="Z21" i="5" s="1"/>
  <c r="X22" i="5" s="1"/>
  <c r="Z30" i="2"/>
  <c r="X31" i="2"/>
  <c r="Y31" i="2" s="1"/>
  <c r="Z31" i="2" s="1"/>
  <c r="X32" i="2" l="1"/>
  <c r="Y32" i="2" s="1"/>
  <c r="Z32" i="2" s="1"/>
  <c r="Y22" i="5" l="1"/>
  <c r="Z22" i="5" s="1"/>
  <c r="X23" i="5" s="1"/>
  <c r="X33" i="2"/>
  <c r="Y33" i="2" s="1"/>
  <c r="Z33" i="2" s="1"/>
  <c r="Y23" i="5" l="1"/>
  <c r="Z23" i="5" s="1"/>
  <c r="X24" i="5" s="1"/>
  <c r="X34" i="2"/>
  <c r="Y34" i="2" s="1"/>
  <c r="Z34" i="2" s="1"/>
  <c r="Y24" i="5" l="1"/>
  <c r="Z24" i="5" s="1"/>
  <c r="X25" i="5" s="1"/>
  <c r="X35" i="2"/>
  <c r="Y35" i="2" s="1"/>
  <c r="Z35" i="2" s="1"/>
  <c r="Y25" i="5" l="1"/>
  <c r="Z25" i="5" s="1"/>
  <c r="X26" i="5" s="1"/>
  <c r="X36" i="2"/>
  <c r="Y36" i="2" s="1"/>
  <c r="Z36" i="2" s="1"/>
  <c r="Y26" i="5" l="1"/>
  <c r="Z26" i="5" s="1"/>
  <c r="X27" i="5" s="1"/>
  <c r="X37" i="2"/>
  <c r="Y37" i="2" s="1"/>
  <c r="Z37" i="2" s="1"/>
  <c r="Y27" i="5" l="1"/>
  <c r="Z27" i="5" s="1"/>
  <c r="X28" i="5" s="1"/>
  <c r="X38" i="2"/>
  <c r="Y38" i="2" s="1"/>
  <c r="Z38" i="2" s="1"/>
  <c r="Y28" i="5" l="1"/>
  <c r="Z28" i="5" s="1"/>
  <c r="X29" i="5" s="1"/>
  <c r="X39" i="2"/>
  <c r="Y29" i="5" l="1"/>
  <c r="Z29" i="5" s="1"/>
  <c r="X30" i="5" s="1"/>
  <c r="Y39" i="2"/>
  <c r="Z39" i="2" s="1"/>
  <c r="X40" i="2" s="1"/>
  <c r="Y40" i="2" s="1"/>
  <c r="AB39" i="2"/>
  <c r="Y30" i="5" l="1"/>
  <c r="Z30" i="5" s="1"/>
  <c r="X31" i="5" s="1"/>
  <c r="E51" i="2"/>
  <c r="E114" i="2"/>
  <c r="AC39" i="2"/>
  <c r="Z40" i="2"/>
  <c r="X41" i="2" s="1"/>
  <c r="Y41" i="2" s="1"/>
  <c r="Z41" i="2" s="1"/>
  <c r="Y31" i="5" l="1"/>
  <c r="Z31" i="5" s="1"/>
  <c r="X32" i="5" s="1"/>
  <c r="E50" i="2"/>
  <c r="E113" i="2"/>
  <c r="X42" i="2"/>
  <c r="Y42" i="2" s="1"/>
  <c r="Z42" i="2" s="1"/>
  <c r="Y32" i="5" l="1"/>
  <c r="Z32" i="5" s="1"/>
  <c r="X33" i="5" s="1"/>
  <c r="E117" i="2"/>
  <c r="C112" i="2"/>
  <c r="C117" i="2" s="1"/>
  <c r="E54" i="2"/>
  <c r="C49" i="2"/>
  <c r="C54" i="2" s="1"/>
  <c r="X43" i="2"/>
  <c r="Y43" i="2" s="1"/>
  <c r="Z43" i="2" s="1"/>
  <c r="Y33" i="5" l="1"/>
  <c r="Z33" i="5" s="1"/>
  <c r="X34" i="5" s="1"/>
  <c r="X44" i="2"/>
  <c r="Y44" i="2" s="1"/>
  <c r="Y34" i="5" l="1"/>
  <c r="Z34" i="5" s="1"/>
  <c r="X35" i="5" s="1"/>
  <c r="Z44" i="2"/>
  <c r="X45" i="2" s="1"/>
  <c r="Y45" i="2" s="1"/>
  <c r="Z45" i="2" s="1"/>
  <c r="Y35" i="5" l="1"/>
  <c r="Z35" i="5" s="1"/>
  <c r="X36" i="5" s="1"/>
  <c r="X46" i="2"/>
  <c r="Y46" i="2" s="1"/>
  <c r="Z46" i="2" s="1"/>
  <c r="Y36" i="5" l="1"/>
  <c r="Z36" i="5" s="1"/>
  <c r="X47" i="2"/>
  <c r="Y47" i="2" s="1"/>
  <c r="Z47" i="2" s="1"/>
  <c r="X37" i="5" l="1"/>
  <c r="Y37" i="5" s="1"/>
  <c r="Z37" i="5" s="1"/>
  <c r="X38" i="5" s="1"/>
  <c r="X48" i="2"/>
  <c r="Y48" i="2" s="1"/>
  <c r="Z48" i="2" s="1"/>
  <c r="Y38" i="5" l="1"/>
  <c r="Z38" i="5" s="1"/>
  <c r="X39" i="5" s="1"/>
  <c r="X49" i="2"/>
  <c r="Y49" i="2" s="1"/>
  <c r="Z49" i="2" s="1"/>
  <c r="Y39" i="5" l="1"/>
  <c r="Z39" i="5" s="1"/>
  <c r="X50" i="2"/>
  <c r="Y50" i="2" s="1"/>
  <c r="Z50" i="2" s="1"/>
  <c r="Y40" i="5" l="1"/>
  <c r="Z40" i="5" s="1"/>
  <c r="X41" i="5" s="1"/>
  <c r="X40" i="5"/>
  <c r="X51" i="2"/>
  <c r="Y51" i="2" s="1"/>
  <c r="Y41" i="5" l="1"/>
  <c r="Z41" i="5" s="1"/>
  <c r="X42" i="5" s="1"/>
  <c r="Z51" i="2"/>
  <c r="X52" i="2" s="1"/>
  <c r="Y52" i="2" s="1"/>
  <c r="AB51" i="2"/>
  <c r="Y42" i="5" l="1"/>
  <c r="Z42" i="5" s="1"/>
  <c r="X43" i="5" s="1"/>
  <c r="Z52" i="2"/>
  <c r="X53" i="2" s="1"/>
  <c r="Y53" i="2" s="1"/>
  <c r="Z53" i="2" s="1"/>
  <c r="Y43" i="5" l="1"/>
  <c r="Z43" i="5" s="1"/>
  <c r="X44" i="5" s="1"/>
  <c r="X54" i="2"/>
  <c r="Y54" i="2" s="1"/>
  <c r="Y44" i="5" l="1"/>
  <c r="Z54" i="2"/>
  <c r="X55" i="2" s="1"/>
  <c r="Y55" i="2" s="1"/>
  <c r="Z55" i="2" s="1"/>
  <c r="Z44" i="5" l="1"/>
  <c r="X45" i="5" s="1"/>
  <c r="X56" i="2"/>
  <c r="Y56" i="2" s="1"/>
  <c r="Z56" i="2" s="1"/>
  <c r="Y45" i="5" l="1"/>
  <c r="Z45" i="5" s="1"/>
  <c r="X46" i="5" s="1"/>
  <c r="X57" i="2"/>
  <c r="Y57" i="2" s="1"/>
  <c r="Z57" i="2" s="1"/>
  <c r="Y46" i="5" l="1"/>
  <c r="Z46" i="5" s="1"/>
  <c r="X47" i="5" s="1"/>
  <c r="X58" i="2"/>
  <c r="Y58" i="2" s="1"/>
  <c r="Z58" i="2" s="1"/>
  <c r="Y47" i="5" l="1"/>
  <c r="Z47" i="5" s="1"/>
  <c r="X48" i="5" s="1"/>
  <c r="X59" i="2"/>
  <c r="Y59" i="2" s="1"/>
  <c r="Z59" i="2" s="1"/>
  <c r="Y48" i="5" l="1"/>
  <c r="Z48" i="5" s="1"/>
  <c r="X49" i="5" s="1"/>
  <c r="X60" i="2"/>
  <c r="Y60" i="2" s="1"/>
  <c r="Z60" i="2" s="1"/>
  <c r="Y49" i="5" l="1"/>
  <c r="X61" i="2"/>
  <c r="Y61" i="2" s="1"/>
  <c r="Z61" i="2" s="1"/>
  <c r="Z49" i="5" l="1"/>
  <c r="X50" i="5" s="1"/>
  <c r="X62" i="2"/>
  <c r="Y62" i="2" s="1"/>
  <c r="Z62" i="2" s="1"/>
  <c r="Y50" i="5" l="1"/>
  <c r="Z50" i="5" s="1"/>
  <c r="X51" i="5" s="1"/>
  <c r="X63" i="2"/>
  <c r="Y63" i="2" s="1"/>
  <c r="Z63" i="2" l="1"/>
  <c r="AB63" i="2"/>
  <c r="X64" i="2"/>
  <c r="Y64" i="2" s="1"/>
  <c r="Y51" i="5" l="1"/>
  <c r="Z51" i="5" s="1"/>
  <c r="X52" i="5" s="1"/>
  <c r="Z64" i="2"/>
  <c r="X65" i="2"/>
  <c r="Y52" i="5" l="1"/>
  <c r="Z52" i="5" s="1"/>
  <c r="X53" i="5" s="1"/>
  <c r="W65" i="2"/>
  <c r="Y65" i="2" s="1"/>
  <c r="Y53" i="5" l="1"/>
  <c r="Z53" i="5" s="1"/>
  <c r="X54" i="5" s="1"/>
  <c r="Z65" i="2"/>
  <c r="AB65" i="2"/>
  <c r="E23" i="2"/>
  <c r="C23" i="2"/>
  <c r="Y54" i="5" l="1"/>
  <c r="Z54" i="5" s="1"/>
  <c r="X55" i="5" l="1"/>
  <c r="Y55" i="5" s="1"/>
  <c r="Z55" i="5" s="1"/>
  <c r="X56" i="5" s="1"/>
  <c r="Y56" i="5" l="1"/>
  <c r="Z56" i="5" s="1"/>
  <c r="X57" i="5" s="1"/>
  <c r="Y57" i="5" l="1"/>
  <c r="Z57" i="5" s="1"/>
  <c r="X58" i="5" s="1"/>
  <c r="Y58" i="5" l="1"/>
  <c r="Z58" i="5" l="1"/>
  <c r="X59" i="5" s="1"/>
  <c r="Y59" i="5" l="1"/>
  <c r="Z59" i="5" s="1"/>
  <c r="X60" i="5" s="1"/>
  <c r="Y60" i="5" l="1"/>
  <c r="Z60" i="5" s="1"/>
  <c r="X61" i="5" s="1"/>
  <c r="Y61" i="5" l="1"/>
  <c r="Z61" i="5" l="1"/>
  <c r="X62" i="5" s="1"/>
  <c r="Y62" i="5" l="1"/>
  <c r="Z62" i="5" s="1"/>
  <c r="X63" i="5" s="1"/>
  <c r="Y63" i="5" l="1"/>
  <c r="Z63" i="5" s="1"/>
  <c r="Z64" i="5" l="1"/>
  <c r="X64" i="5"/>
  <c r="X65" i="5" l="1"/>
  <c r="W65" i="5" s="1"/>
  <c r="Y65" i="5" s="1"/>
  <c r="Z6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Harper</author>
  </authors>
  <commentList>
    <comment ref="L6" authorId="0" shapeId="0" xr:uid="{D2436CB0-AB9E-4F98-888B-062977E0649D}">
      <text>
        <r>
          <rPr>
            <b/>
            <sz val="9"/>
            <color indexed="81"/>
            <rFont val="Tahoma"/>
            <family val="2"/>
          </rPr>
          <t>Deborah Harper:</t>
        </r>
        <r>
          <rPr>
            <sz val="9"/>
            <color indexed="81"/>
            <rFont val="Tahoma"/>
            <family val="2"/>
          </rPr>
          <t xml:space="preserve">
If asset has a future value at end of agreement.
</t>
        </r>
      </text>
    </comment>
    <comment ref="W6" authorId="0" shapeId="0" xr:uid="{8D34193D-0A3B-45E0-B361-FB66B60F4965}">
      <text>
        <r>
          <rPr>
            <b/>
            <sz val="9"/>
            <color indexed="81"/>
            <rFont val="Tahoma"/>
            <family val="2"/>
          </rPr>
          <t>Deborah Harper:</t>
        </r>
        <r>
          <rPr>
            <sz val="9"/>
            <color indexed="81"/>
            <rFont val="Tahoma"/>
            <family val="2"/>
          </rPr>
          <t xml:space="preserve">
If paid beginning of payment period then enter 1, 
if paid at end of payment period then enter 2</t>
        </r>
      </text>
    </comment>
  </commentList>
</comments>
</file>

<file path=xl/sharedStrings.xml><?xml version="1.0" encoding="utf-8"?>
<sst xmlns="http://schemas.openxmlformats.org/spreadsheetml/2006/main" count="277" uniqueCount="147">
  <si>
    <t>Item #</t>
  </si>
  <si>
    <t>Lease Description</t>
  </si>
  <si>
    <t>Company/Entity Name</t>
  </si>
  <si>
    <t>Date of lease agreement</t>
  </si>
  <si>
    <t>Date of 1st payment</t>
  </si>
  <si>
    <t>Number of payments</t>
  </si>
  <si>
    <t>Department:</t>
  </si>
  <si>
    <r>
      <t>Payment Period [monthly(</t>
    </r>
    <r>
      <rPr>
        <b/>
        <sz val="11"/>
        <color rgb="FFFF0000"/>
        <rFont val="Arial"/>
        <family val="2"/>
      </rPr>
      <t>M</t>
    </r>
    <r>
      <rPr>
        <b/>
        <sz val="11"/>
        <color theme="1"/>
        <rFont val="Arial"/>
        <family val="2"/>
      </rPr>
      <t>) / bi-monthly(</t>
    </r>
    <r>
      <rPr>
        <b/>
        <sz val="11"/>
        <color rgb="FFFF0000"/>
        <rFont val="Arial"/>
        <family val="2"/>
      </rPr>
      <t>B</t>
    </r>
    <r>
      <rPr>
        <b/>
        <sz val="11"/>
        <color theme="1"/>
        <rFont val="Arial"/>
        <family val="2"/>
      </rPr>
      <t>) / Annually(</t>
    </r>
    <r>
      <rPr>
        <b/>
        <sz val="11"/>
        <color rgb="FFFF0000"/>
        <rFont val="Arial"/>
        <family val="2"/>
      </rPr>
      <t>A</t>
    </r>
    <r>
      <rPr>
        <b/>
        <sz val="11"/>
        <color theme="1"/>
        <rFont val="Arial"/>
        <family val="2"/>
      </rPr>
      <t>) / quarterly(</t>
    </r>
    <r>
      <rPr>
        <b/>
        <sz val="11"/>
        <color rgb="FFFF0000"/>
        <rFont val="Arial"/>
        <family val="2"/>
      </rPr>
      <t>Q</t>
    </r>
    <r>
      <rPr>
        <b/>
        <sz val="11"/>
        <color theme="1"/>
        <rFont val="Arial"/>
        <family val="2"/>
      </rPr>
      <t>)]</t>
    </r>
  </si>
  <si>
    <t>Annual Interest Rate</t>
  </si>
  <si>
    <r>
      <t>Purchase Option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</si>
  <si>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Rate</t>
  </si>
  <si>
    <t>Nper</t>
  </si>
  <si>
    <t>Pmt</t>
  </si>
  <si>
    <t>FV</t>
  </si>
  <si>
    <t>Type</t>
  </si>
  <si>
    <t>CALCULATED SECTION</t>
  </si>
  <si>
    <t>Term (5 yrs, 10 yrs, etc.)</t>
  </si>
  <si>
    <t>Enterprise Corp</t>
  </si>
  <si>
    <t>M</t>
  </si>
  <si>
    <r>
      <t>Payment Amount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</si>
  <si>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DO NOT MARK UP - FINANCE USE</t>
  </si>
  <si>
    <r>
      <t>Future Value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</si>
  <si>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Main Agreement PV</t>
  </si>
  <si>
    <t>Main contract</t>
  </si>
  <si>
    <t>PV</t>
  </si>
  <si>
    <r>
      <t>Initial costs paid upfront, if any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</si>
  <si>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Y</t>
  </si>
  <si>
    <t>Support</t>
  </si>
  <si>
    <t>Agreement attached? Or provide link</t>
  </si>
  <si>
    <t>R:publicworks/lease agreements</t>
  </si>
  <si>
    <t>Options</t>
  </si>
  <si>
    <t>Option to extend how many periods?</t>
  </si>
  <si>
    <r>
      <t>Likely to take extension options (</t>
    </r>
    <r>
      <rPr>
        <b/>
        <sz val="11"/>
        <color rgb="FFFF0000"/>
        <rFont val="Arial"/>
        <family val="2"/>
      </rPr>
      <t>Y/N</t>
    </r>
    <r>
      <rPr>
        <b/>
        <sz val="11"/>
        <color theme="1"/>
        <rFont val="Arial"/>
        <family val="2"/>
      </rPr>
      <t>)?</t>
    </r>
  </si>
  <si>
    <r>
      <t>Likely to take purchase option (</t>
    </r>
    <r>
      <rPr>
        <b/>
        <sz val="11"/>
        <color rgb="FFFF0000"/>
        <rFont val="Arial"/>
        <family val="2"/>
      </rPr>
      <t>Y/N</t>
    </r>
    <r>
      <rPr>
        <b/>
        <sz val="11"/>
        <color theme="1"/>
        <rFont val="Arial"/>
        <family val="2"/>
      </rPr>
      <t>)</t>
    </r>
  </si>
  <si>
    <t>N</t>
  </si>
  <si>
    <t>Comments/Notes</t>
  </si>
  <si>
    <t>Initial costs inlcude transportation costs and add-ons needed to get it ready for use.</t>
  </si>
  <si>
    <t>Lease Intangible Asset: (Right to Use)</t>
  </si>
  <si>
    <t>Proprietary Fund</t>
  </si>
  <si>
    <t>Governmental Fund</t>
  </si>
  <si>
    <t>Fund #</t>
  </si>
  <si>
    <t>Fund Balance - Restatement</t>
  </si>
  <si>
    <t>Debits</t>
  </si>
  <si>
    <t>Credits</t>
  </si>
  <si>
    <t>Lease Initial Value</t>
  </si>
  <si>
    <t xml:space="preserve">Fund Balance - Restatement </t>
  </si>
  <si>
    <t>Period</t>
  </si>
  <si>
    <t>Month</t>
  </si>
  <si>
    <t>Amortization</t>
  </si>
  <si>
    <t>Balance</t>
  </si>
  <si>
    <t>FY 17/18</t>
  </si>
  <si>
    <t>FY 18/19</t>
  </si>
  <si>
    <t>FY 19/20</t>
  </si>
  <si>
    <t>Prior Year amortization</t>
  </si>
  <si>
    <t>Current Yr</t>
  </si>
  <si>
    <t>Intial entry - record new PV</t>
  </si>
  <si>
    <t>Intial entry - remove old Asset, if applicable</t>
  </si>
  <si>
    <t>FY 20/21</t>
  </si>
  <si>
    <t>FY 21/22</t>
  </si>
  <si>
    <t>To record new capital lease payable at PV - Vehicle Lease</t>
  </si>
  <si>
    <t>Payment</t>
  </si>
  <si>
    <t>Interest</t>
  </si>
  <si>
    <t>Principal</t>
  </si>
  <si>
    <t>{CY Principal Pymts}</t>
  </si>
  <si>
    <t>FOR PRIOR YEAR LESSEE RECORDING ONLY</t>
  </si>
  <si>
    <t>Lease Term</t>
  </si>
  <si>
    <t>PV of Receivable:</t>
  </si>
  <si>
    <t>Lease Receivable</t>
  </si>
  <si>
    <t>Lease Revenue</t>
  </si>
  <si>
    <t>Interest Revenue</t>
  </si>
  <si>
    <t>Cash</t>
  </si>
  <si>
    <t>example truck lease (OLD)</t>
  </si>
  <si>
    <t>example truck lease (NEW)</t>
  </si>
  <si>
    <t>R:publicworks/lease agreements/2020</t>
  </si>
  <si>
    <t>interest</t>
  </si>
  <si>
    <t>PROPRIETARY ONLY</t>
  </si>
  <si>
    <t>Governmental Fund Entries</t>
  </si>
  <si>
    <t>IN THE FUND</t>
  </si>
  <si>
    <t>GOVERNMENT-WIDE</t>
  </si>
  <si>
    <t>{Principal Pymt}</t>
  </si>
  <si>
    <t>{Lease Pymt}</t>
  </si>
  <si>
    <t>GOVERNMENTAL FUND</t>
  </si>
  <si>
    <t>{CY Interest Pymts}</t>
  </si>
  <si>
    <t>554 main street, #1</t>
  </si>
  <si>
    <t>Community Development Department</t>
  </si>
  <si>
    <t>Acct 100-5400-3401 (CD)</t>
  </si>
  <si>
    <t>Initial deposit paid upfront</t>
  </si>
  <si>
    <t>Deferred Revenue:</t>
  </si>
  <si>
    <t>Lease Receivable and upfront payments</t>
  </si>
  <si>
    <t>Deferred Revenue</t>
  </si>
  <si>
    <t>{lease receivable}</t>
  </si>
  <si>
    <t>{Initial deposit received}</t>
  </si>
  <si>
    <t>{deferred revenue}</t>
  </si>
  <si>
    <t>Lease Payments received</t>
  </si>
  <si>
    <t>Amortization Table - Deferred revenue</t>
  </si>
  <si>
    <t>Lease Payments - Lease Receivable</t>
  </si>
  <si>
    <t>Interest revenue</t>
  </si>
  <si>
    <t>{Interest}</t>
  </si>
  <si>
    <t>FOR NEW LESSOR ENTRIES</t>
  </si>
  <si>
    <t>New lease - lease Receivable entry</t>
  </si>
  <si>
    <t xml:space="preserve"> Deposit - last months rent</t>
  </si>
  <si>
    <t>Total Receivable</t>
  </si>
  <si>
    <t>Total Deferred Revenue</t>
  </si>
  <si>
    <t>Lease revenue</t>
  </si>
  <si>
    <t>To record new building lease agreement</t>
  </si>
  <si>
    <t>New lease - building lease</t>
  </si>
  <si>
    <t>To record Lease Payment on Lease Receivable - 554 main street, #1</t>
  </si>
  <si>
    <t>To recognize lease revenue on new building lease receivable at PV - 554 main street, #1</t>
  </si>
  <si>
    <t>Governmental Funds</t>
  </si>
  <si>
    <t xml:space="preserve">Lease Revenue </t>
  </si>
  <si>
    <t>{receivable}</t>
  </si>
  <si>
    <t>{Deposit}</t>
  </si>
  <si>
    <t>{Revenue}</t>
  </si>
  <si>
    <t>To record new building lease agreement - 554 main street #1</t>
  </si>
  <si>
    <t>To remove deferred revenue and recognize lease revenue on building lease - 554 main street, #1</t>
  </si>
  <si>
    <t>CY Lease Payments</t>
  </si>
  <si>
    <t>{CY Lease Pymts}</t>
  </si>
  <si>
    <t>To record CY Lease Payments received on building lease - 554 main street, #1</t>
  </si>
  <si>
    <t>{removal of deferred rev}</t>
  </si>
  <si>
    <t>{amortization}</t>
  </si>
  <si>
    <r>
      <rPr>
        <b/>
        <sz val="11"/>
        <color theme="1"/>
        <rFont val="Arial"/>
        <family val="2"/>
      </rPr>
      <t>Lessor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(Items your agency is leasing to another company/entity)</t>
    </r>
    <r>
      <rPr>
        <b/>
        <sz val="11"/>
        <color theme="1"/>
        <rFont val="Arial"/>
        <family val="2"/>
      </rPr>
      <t>:</t>
    </r>
  </si>
  <si>
    <t>PV of receivable:</t>
  </si>
  <si>
    <t>(Deferred Revenue):</t>
  </si>
  <si>
    <t>Total Lease Receipts:</t>
  </si>
  <si>
    <t>{Remove old Cap Lease}</t>
  </si>
  <si>
    <t>To remove prior year capital lease</t>
  </si>
  <si>
    <t xml:space="preserve">Governmental Fund Entries </t>
  </si>
  <si>
    <t>Initial costs paid:</t>
  </si>
  <si>
    <t>Deferred Rev:</t>
  </si>
  <si>
    <t>To record new initial Lease Agreement - Truck Lease Item #0</t>
  </si>
  <si>
    <t>Lease Payments Received in PY</t>
  </si>
  <si>
    <t>To record prior year Lease payments - Truck Lease Item #0</t>
  </si>
  <si>
    <t>Lease Payments - CY</t>
  </si>
  <si>
    <t>principal</t>
  </si>
  <si>
    <t>Lease Receivable Entries</t>
  </si>
  <si>
    <t>Deferred Revenue Entries</t>
  </si>
  <si>
    <t>PY amortization of deferred revenue</t>
  </si>
  <si>
    <t>Torecognize PY revenue on Lease - Truck Lease, Item #0</t>
  </si>
  <si>
    <t>To record current year lease payments - Truck Lease, Item #0</t>
  </si>
  <si>
    <t>CY amortization of deferred revenue</t>
  </si>
  <si>
    <t>{New PV of Lease}</t>
  </si>
  <si>
    <t>{PY Principal pymts}</t>
  </si>
  <si>
    <t>{CY Lease Payment}</t>
  </si>
  <si>
    <t>{Principal}</t>
  </si>
  <si>
    <t>{PY Def Rev amort}</t>
  </si>
  <si>
    <t>{CY Def Rev amort}</t>
  </si>
  <si>
    <t>Deferred Revenue -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</si>
</sst>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sz val="20"/>
      <color rgb="FFFF0000"/>
      <name val="Arial"/>
      <family val="2"/>
    </font>
    <font>
      <b/>
      <sz val="48"/>
      <color theme="0"/>
      <name val="Arial"/>
      <family val="2"/>
    </font>
    <font>
      <b/>
      <sz val="36"/>
      <color theme="0"/>
      <name val="Arial"/>
      <family val="2"/>
    </font>
    <font>
      <b/>
      <sz val="4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14" fontId="4" fillId="0" borderId="0" xfId="0" applyNumberFormat="1" applyFont="1"/>
    <xf numFmtId="43" fontId="4" fillId="0" borderId="0" xfId="1" applyFont="1"/>
    <xf numFmtId="0" fontId="4" fillId="4" borderId="0" xfId="0" applyFont="1" applyFill="1"/>
    <xf numFmtId="0" fontId="4" fillId="5" borderId="0" xfId="0" applyFont="1" applyFill="1"/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5" borderId="0" xfId="0" applyFont="1" applyFill="1" applyAlignment="1">
      <alignment horizontal="center"/>
    </xf>
    <xf numFmtId="0" fontId="5" fillId="5" borderId="13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4" fillId="0" borderId="18" xfId="0" applyFont="1" applyBorder="1"/>
    <xf numFmtId="0" fontId="4" fillId="0" borderId="19" xfId="0" applyFont="1" applyBorder="1"/>
    <xf numFmtId="0" fontId="4" fillId="4" borderId="19" xfId="0" applyFont="1" applyFill="1" applyBorder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/>
    <xf numFmtId="0" fontId="4" fillId="6" borderId="6" xfId="0" applyFont="1" applyFill="1" applyBorder="1"/>
    <xf numFmtId="10" fontId="4" fillId="0" borderId="6" xfId="0" applyNumberFormat="1" applyFont="1" applyBorder="1"/>
    <xf numFmtId="0" fontId="4" fillId="4" borderId="6" xfId="0" applyFont="1" applyFill="1" applyBorder="1"/>
    <xf numFmtId="0" fontId="4" fillId="5" borderId="6" xfId="0" applyFont="1" applyFill="1" applyBorder="1"/>
    <xf numFmtId="0" fontId="4" fillId="4" borderId="23" xfId="0" applyFont="1" applyFill="1" applyBorder="1"/>
    <xf numFmtId="0" fontId="4" fillId="5" borderId="23" xfId="0" applyFont="1" applyFill="1" applyBorder="1"/>
    <xf numFmtId="0" fontId="4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/>
    <xf numFmtId="14" fontId="4" fillId="0" borderId="26" xfId="0" applyNumberFormat="1" applyFont="1" applyBorder="1"/>
    <xf numFmtId="43" fontId="4" fillId="0" borderId="26" xfId="1" applyFont="1" applyBorder="1"/>
    <xf numFmtId="0" fontId="4" fillId="6" borderId="26" xfId="0" applyFont="1" applyFill="1" applyBorder="1"/>
    <xf numFmtId="10" fontId="4" fillId="0" borderId="26" xfId="0" applyNumberFormat="1" applyFont="1" applyBorder="1"/>
    <xf numFmtId="0" fontId="4" fillId="4" borderId="26" xfId="0" applyFont="1" applyFill="1" applyBorder="1"/>
    <xf numFmtId="0" fontId="4" fillId="5" borderId="26" xfId="0" applyFont="1" applyFill="1" applyBorder="1"/>
    <xf numFmtId="0" fontId="4" fillId="0" borderId="14" xfId="0" applyFont="1" applyBorder="1" applyAlignment="1">
      <alignment horizontal="center"/>
    </xf>
    <xf numFmtId="0" fontId="4" fillId="0" borderId="12" xfId="0" applyFont="1" applyBorder="1"/>
    <xf numFmtId="14" fontId="4" fillId="0" borderId="12" xfId="0" applyNumberFormat="1" applyFont="1" applyBorder="1"/>
    <xf numFmtId="43" fontId="4" fillId="0" borderId="12" xfId="1" applyFont="1" applyBorder="1"/>
    <xf numFmtId="0" fontId="4" fillId="6" borderId="12" xfId="0" applyFont="1" applyFill="1" applyBorder="1"/>
    <xf numFmtId="10" fontId="4" fillId="0" borderId="12" xfId="0" applyNumberFormat="1" applyFont="1" applyBorder="1"/>
    <xf numFmtId="0" fontId="5" fillId="0" borderId="11" xfId="0" applyFont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43" fontId="5" fillId="0" borderId="11" xfId="1" applyFont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14" fontId="6" fillId="7" borderId="4" xfId="0" applyNumberFormat="1" applyFont="1" applyFill="1" applyBorder="1" applyAlignment="1">
      <alignment horizontal="center" wrapText="1"/>
    </xf>
    <xf numFmtId="43" fontId="6" fillId="7" borderId="4" xfId="1" applyFont="1" applyFill="1" applyBorder="1" applyAlignment="1">
      <alignment horizontal="center" wrapText="1"/>
    </xf>
    <xf numFmtId="10" fontId="6" fillId="7" borderId="4" xfId="0" applyNumberFormat="1" applyFont="1" applyFill="1" applyBorder="1"/>
    <xf numFmtId="43" fontId="6" fillId="7" borderId="4" xfId="0" applyNumberFormat="1" applyFont="1" applyFill="1" applyBorder="1" applyAlignment="1">
      <alignment horizontal="center" wrapText="1"/>
    </xf>
    <xf numFmtId="44" fontId="6" fillId="7" borderId="5" xfId="2" applyFont="1" applyFill="1" applyBorder="1" applyAlignment="1">
      <alignment horizontal="center" wrapText="1"/>
    </xf>
    <xf numFmtId="0" fontId="6" fillId="7" borderId="4" xfId="1" applyNumberFormat="1" applyFont="1" applyFill="1" applyBorder="1" applyAlignment="1">
      <alignment horizontal="center"/>
    </xf>
    <xf numFmtId="43" fontId="4" fillId="5" borderId="26" xfId="0" applyNumberFormat="1" applyFont="1" applyFill="1" applyBorder="1"/>
    <xf numFmtId="44" fontId="4" fillId="5" borderId="29" xfId="0" applyNumberFormat="1" applyFont="1" applyFill="1" applyBorder="1"/>
    <xf numFmtId="43" fontId="4" fillId="5" borderId="6" xfId="0" applyNumberFormat="1" applyFont="1" applyFill="1" applyBorder="1"/>
    <xf numFmtId="44" fontId="4" fillId="5" borderId="22" xfId="0" applyNumberFormat="1" applyFont="1" applyFill="1" applyBorder="1"/>
    <xf numFmtId="43" fontId="4" fillId="5" borderId="23" xfId="0" applyNumberFormat="1" applyFont="1" applyFill="1" applyBorder="1"/>
    <xf numFmtId="44" fontId="4" fillId="5" borderId="24" xfId="0" applyNumberFormat="1" applyFont="1" applyFill="1" applyBorder="1"/>
    <xf numFmtId="43" fontId="9" fillId="0" borderId="20" xfId="1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43" fontId="5" fillId="0" borderId="31" xfId="1" applyFont="1" applyBorder="1" applyAlignment="1">
      <alignment horizontal="center" wrapText="1"/>
    </xf>
    <xf numFmtId="0" fontId="6" fillId="7" borderId="3" xfId="1" applyNumberFormat="1" applyFont="1" applyFill="1" applyBorder="1" applyAlignment="1">
      <alignment horizontal="center"/>
    </xf>
    <xf numFmtId="43" fontId="6" fillId="7" borderId="9" xfId="1" applyFont="1" applyFill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14" fontId="6" fillId="7" borderId="3" xfId="0" applyNumberFormat="1" applyFont="1" applyFill="1" applyBorder="1" applyAlignment="1">
      <alignment horizontal="center" wrapText="1"/>
    </xf>
    <xf numFmtId="43" fontId="6" fillId="7" borderId="5" xfId="1" applyFont="1" applyFill="1" applyBorder="1"/>
    <xf numFmtId="0" fontId="4" fillId="0" borderId="0" xfId="0" applyFont="1" applyBorder="1"/>
    <xf numFmtId="0" fontId="5" fillId="0" borderId="5" xfId="0" applyFont="1" applyBorder="1" applyAlignment="1">
      <alignment horizontal="center" wrapText="1"/>
    </xf>
    <xf numFmtId="0" fontId="10" fillId="8" borderId="0" xfId="0" applyFont="1" applyFill="1"/>
    <xf numFmtId="0" fontId="10" fillId="8" borderId="6" xfId="0" applyFont="1" applyFill="1" applyBorder="1"/>
    <xf numFmtId="0" fontId="5" fillId="5" borderId="6" xfId="0" applyFont="1" applyFill="1" applyBorder="1" applyAlignment="1">
      <alignment horizontal="center"/>
    </xf>
    <xf numFmtId="44" fontId="4" fillId="0" borderId="0" xfId="0" applyNumberFormat="1" applyFont="1"/>
    <xf numFmtId="44" fontId="4" fillId="5" borderId="0" xfId="0" applyNumberFormat="1" applyFont="1" applyFill="1"/>
    <xf numFmtId="0" fontId="4" fillId="0" borderId="20" xfId="0" applyFont="1" applyBorder="1"/>
    <xf numFmtId="0" fontId="4" fillId="0" borderId="27" xfId="0" applyFont="1" applyBorder="1"/>
    <xf numFmtId="0" fontId="4" fillId="0" borderId="28" xfId="0" applyFont="1" applyBorder="1"/>
    <xf numFmtId="0" fontId="11" fillId="8" borderId="27" xfId="0" applyFont="1" applyFill="1" applyBorder="1" applyAlignment="1">
      <alignment horizontal="right"/>
    </xf>
    <xf numFmtId="44" fontId="4" fillId="5" borderId="0" xfId="0" applyNumberFormat="1" applyFont="1" applyFill="1" applyBorder="1"/>
    <xf numFmtId="0" fontId="11" fillId="8" borderId="0" xfId="0" applyFont="1" applyFill="1" applyBorder="1" applyAlignment="1">
      <alignment horizontal="right"/>
    </xf>
    <xf numFmtId="44" fontId="4" fillId="5" borderId="28" xfId="0" applyNumberFormat="1" applyFont="1" applyFill="1" applyBorder="1"/>
    <xf numFmtId="43" fontId="4" fillId="5" borderId="0" xfId="0" applyNumberFormat="1" applyFont="1" applyFill="1" applyBorder="1"/>
    <xf numFmtId="0" fontId="4" fillId="5" borderId="0" xfId="0" applyFont="1" applyFill="1" applyBorder="1"/>
    <xf numFmtId="0" fontId="4" fillId="0" borderId="30" xfId="0" applyFont="1" applyBorder="1"/>
    <xf numFmtId="0" fontId="4" fillId="0" borderId="11" xfId="0" applyFont="1" applyBorder="1"/>
    <xf numFmtId="0" fontId="4" fillId="0" borderId="31" xfId="0" applyFont="1" applyBorder="1"/>
    <xf numFmtId="0" fontId="10" fillId="8" borderId="15" xfId="0" applyFont="1" applyFill="1" applyBorder="1"/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9" borderId="19" xfId="0" applyFont="1" applyFill="1" applyBorder="1"/>
    <xf numFmtId="0" fontId="4" fillId="9" borderId="0" xfId="0" applyFont="1" applyFill="1" applyBorder="1"/>
    <xf numFmtId="0" fontId="4" fillId="9" borderId="11" xfId="0" applyFont="1" applyFill="1" applyBorder="1"/>
    <xf numFmtId="0" fontId="4" fillId="9" borderId="19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44" fontId="10" fillId="8" borderId="0" xfId="0" applyNumberFormat="1" applyFont="1" applyFill="1" applyBorder="1"/>
    <xf numFmtId="0" fontId="12" fillId="0" borderId="18" xfId="0" applyFont="1" applyBorder="1" applyAlignment="1">
      <alignment horizontal="center"/>
    </xf>
    <xf numFmtId="44" fontId="4" fillId="5" borderId="6" xfId="0" applyNumberFormat="1" applyFont="1" applyFill="1" applyBorder="1"/>
    <xf numFmtId="0" fontId="4" fillId="9" borderId="6" xfId="0" applyFont="1" applyFill="1" applyBorder="1"/>
    <xf numFmtId="0" fontId="4" fillId="0" borderId="21" xfId="0" applyFont="1" applyBorder="1" applyAlignment="1">
      <alignment wrapText="1"/>
    </xf>
    <xf numFmtId="0" fontId="11" fillId="8" borderId="6" xfId="0" applyFont="1" applyFill="1" applyBorder="1"/>
    <xf numFmtId="0" fontId="5" fillId="5" borderId="6" xfId="0" applyFont="1" applyFill="1" applyBorder="1"/>
    <xf numFmtId="44" fontId="5" fillId="0" borderId="0" xfId="0" applyNumberFormat="1" applyFont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13" fillId="10" borderId="0" xfId="0" applyFont="1" applyFill="1"/>
    <xf numFmtId="44" fontId="10" fillId="8" borderId="0" xfId="0" applyNumberFormat="1" applyFont="1" applyFill="1"/>
    <xf numFmtId="44" fontId="4" fillId="5" borderId="6" xfId="2" applyFont="1" applyFill="1" applyBorder="1"/>
    <xf numFmtId="0" fontId="9" fillId="0" borderId="27" xfId="0" applyFont="1" applyBorder="1"/>
    <xf numFmtId="0" fontId="4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8" borderId="19" xfId="0" applyFont="1" applyFill="1" applyBorder="1" applyAlignment="1">
      <alignment horizontal="center"/>
    </xf>
    <xf numFmtId="44" fontId="10" fillId="0" borderId="0" xfId="0" applyNumberFormat="1" applyFont="1" applyFill="1"/>
    <xf numFmtId="0" fontId="14" fillId="0" borderId="0" xfId="0" applyFont="1" applyFill="1" applyAlignment="1">
      <alignment vertical="center" textRotation="180"/>
    </xf>
    <xf numFmtId="0" fontId="4" fillId="9" borderId="0" xfId="0" applyFont="1" applyFill="1"/>
    <xf numFmtId="0" fontId="6" fillId="4" borderId="0" xfId="0" applyFont="1" applyFill="1" applyBorder="1" applyAlignment="1">
      <alignment horizontal="center" wrapText="1"/>
    </xf>
    <xf numFmtId="0" fontId="6" fillId="7" borderId="10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wrapText="1"/>
    </xf>
    <xf numFmtId="14" fontId="6" fillId="7" borderId="6" xfId="0" applyNumberFormat="1" applyFont="1" applyFill="1" applyBorder="1" applyAlignment="1">
      <alignment horizontal="center" wrapText="1"/>
    </xf>
    <xf numFmtId="43" fontId="6" fillId="7" borderId="6" xfId="1" applyFont="1" applyFill="1" applyBorder="1" applyAlignment="1">
      <alignment horizontal="center" wrapText="1"/>
    </xf>
    <xf numFmtId="10" fontId="6" fillId="7" borderId="6" xfId="0" applyNumberFormat="1" applyFont="1" applyFill="1" applyBorder="1"/>
    <xf numFmtId="43" fontId="6" fillId="7" borderId="6" xfId="1" applyFont="1" applyFill="1" applyBorder="1"/>
    <xf numFmtId="43" fontId="6" fillId="7" borderId="6" xfId="1" applyFont="1" applyFill="1" applyBorder="1" applyAlignment="1">
      <alignment horizontal="center"/>
    </xf>
    <xf numFmtId="0" fontId="4" fillId="11" borderId="0" xfId="0" applyFont="1" applyFill="1"/>
    <xf numFmtId="0" fontId="10" fillId="0" borderId="19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31" xfId="0" applyFont="1" applyFill="1" applyBorder="1" applyAlignment="1">
      <alignment horizontal="left"/>
    </xf>
    <xf numFmtId="0" fontId="12" fillId="0" borderId="18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0" fillId="8" borderId="19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43" fontId="4" fillId="0" borderId="26" xfId="1" applyFont="1" applyBorder="1" applyAlignment="1">
      <alignment horizontal="center"/>
    </xf>
    <xf numFmtId="0" fontId="4" fillId="0" borderId="0" xfId="0" applyFont="1" applyAlignment="1">
      <alignment wrapText="1"/>
    </xf>
    <xf numFmtId="0" fontId="14" fillId="0" borderId="0" xfId="0" applyFont="1" applyFill="1" applyAlignment="1">
      <alignment vertical="center" textRotation="180" wrapText="1"/>
    </xf>
    <xf numFmtId="0" fontId="4" fillId="0" borderId="21" xfId="0" applyFont="1" applyBorder="1" applyAlignment="1">
      <alignment horizontal="left" wrapText="1"/>
    </xf>
    <xf numFmtId="44" fontId="4" fillId="0" borderId="31" xfId="0" applyNumberFormat="1" applyFont="1" applyBorder="1"/>
    <xf numFmtId="0" fontId="9" fillId="9" borderId="0" xfId="0" applyFont="1" applyFill="1" applyBorder="1" applyAlignment="1">
      <alignment horizontal="left"/>
    </xf>
    <xf numFmtId="0" fontId="15" fillId="9" borderId="0" xfId="0" applyFont="1" applyFill="1" applyAlignment="1">
      <alignment vertical="center" textRotation="180" wrapText="1"/>
    </xf>
    <xf numFmtId="0" fontId="4" fillId="12" borderId="30" xfId="0" applyFont="1" applyFill="1" applyBorder="1"/>
    <xf numFmtId="0" fontId="4" fillId="12" borderId="11" xfId="0" applyFont="1" applyFill="1" applyBorder="1"/>
    <xf numFmtId="0" fontId="4" fillId="12" borderId="31" xfId="0" applyFont="1" applyFill="1" applyBorder="1"/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center" textRotation="180" wrapText="1"/>
    </xf>
    <xf numFmtId="0" fontId="4" fillId="5" borderId="13" xfId="0" applyFont="1" applyFill="1" applyBorder="1" applyAlignment="1">
      <alignment horizontal="center"/>
    </xf>
    <xf numFmtId="0" fontId="16" fillId="0" borderId="0" xfId="0" applyFont="1" applyFill="1" applyAlignment="1">
      <alignment vertical="center" textRotation="180" wrapText="1"/>
    </xf>
    <xf numFmtId="0" fontId="16" fillId="0" borderId="0" xfId="0" applyFont="1" applyFill="1" applyAlignment="1">
      <alignment vertical="center" textRotation="180"/>
    </xf>
    <xf numFmtId="43" fontId="4" fillId="0" borderId="28" xfId="0" applyNumberFormat="1" applyFont="1" applyBorder="1"/>
    <xf numFmtId="0" fontId="9" fillId="5" borderId="16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43" fontId="9" fillId="0" borderId="3" xfId="1" applyFont="1" applyBorder="1" applyAlignment="1">
      <alignment horizontal="center" wrapText="1"/>
    </xf>
    <xf numFmtId="43" fontId="9" fillId="0" borderId="4" xfId="1" applyFont="1" applyBorder="1" applyAlignment="1">
      <alignment horizontal="center" wrapText="1"/>
    </xf>
    <xf numFmtId="43" fontId="9" fillId="0" borderId="5" xfId="1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2" borderId="6" xfId="4" applyBorder="1" applyAlignment="1">
      <alignment horizontal="center"/>
    </xf>
    <xf numFmtId="0" fontId="1" fillId="3" borderId="6" xfId="5" applyBorder="1" applyAlignment="1">
      <alignment horizontal="center"/>
    </xf>
    <xf numFmtId="0" fontId="6" fillId="5" borderId="0" xfId="0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9" fillId="5" borderId="3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31" xfId="0" applyFont="1" applyFill="1" applyBorder="1" applyAlignment="1">
      <alignment horizontal="left"/>
    </xf>
    <xf numFmtId="0" fontId="10" fillId="8" borderId="18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7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/>
    </xf>
    <xf numFmtId="0" fontId="2" fillId="0" borderId="1" xfId="3" applyAlignment="1">
      <alignment horizontal="left"/>
    </xf>
    <xf numFmtId="0" fontId="14" fillId="8" borderId="0" xfId="0" applyFont="1" applyFill="1" applyAlignment="1">
      <alignment horizontal="center" vertical="center" textRotation="180" wrapText="1"/>
    </xf>
    <xf numFmtId="0" fontId="10" fillId="8" borderId="0" xfId="0" applyFont="1" applyFill="1" applyAlignment="1">
      <alignment horizontal="center"/>
    </xf>
    <xf numFmtId="0" fontId="14" fillId="4" borderId="0" xfId="0" applyFont="1" applyFill="1" applyAlignment="1">
      <alignment horizontal="center" vertical="center" textRotation="180" wrapText="1"/>
    </xf>
    <xf numFmtId="0" fontId="10" fillId="0" borderId="0" xfId="0" applyFont="1" applyFill="1" applyAlignment="1">
      <alignment horizontal="center"/>
    </xf>
  </cellXfs>
  <cellStyles count="6">
    <cellStyle name="20% - Accent5" xfId="5" builtinId="46"/>
    <cellStyle name="Accent1" xfId="4" builtinId="29"/>
    <cellStyle name="Comma" xfId="1" builtinId="3"/>
    <cellStyle name="Currency" xfId="2" builtinId="4"/>
    <cellStyle name="Heading 1" xfId="3" builtinId="16"/>
    <cellStyle name="Normal" xfId="0" builtinId="0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E0DBD9F-FAEC-4D02-8EEE-38D455C8ABC1}" name="Table6" displayName="Table6" ref="A6:Q108" totalsRowShown="0" headerRowDxfId="51" headerRowBorderDxfId="50" tableBorderDxfId="49">
  <autoFilter ref="A6:Q108" xr:uid="{39DAA81C-19DD-44B9-B975-DA2D37054793}"/>
  <tableColumns count="17">
    <tableColumn id="1" xr3:uid="{B56788D8-CBC3-4EDE-9BBE-0312BCFD210B}" name="Item #" dataDxfId="48"/>
    <tableColumn id="2" xr3:uid="{B1E7F72E-090C-44AA-AEE0-780672555B34}" name="Lease Description" dataDxfId="47"/>
    <tableColumn id="3" xr3:uid="{C49EF5DF-01BD-4E57-BE7C-C994F5A799ED}" name="Company/Entity Name" dataDxfId="46"/>
    <tableColumn id="4" xr3:uid="{D08B343D-6F21-42BA-9253-FF26A9275E74}" name="Date of lease agreement" dataDxfId="45"/>
    <tableColumn id="5" xr3:uid="{DFABD2E5-7BAA-4169-9016-B1A7ABD1E1D8}" name="Initial costs paid upfront, if any ($)" dataDxfId="44" dataCellStyle="Comma"/>
    <tableColumn id="6" xr3:uid="{E1BEEFF3-A97E-4ECF-8FFB-FADE4CD0B693}" name="Date of 1st payment" dataDxfId="43"/>
    <tableColumn id="7" xr3:uid="{1EC9E784-7647-44D4-81B4-8E4F81723A46}" name="Payment Amount ($)" dataDxfId="42" dataCellStyle="Comma"/>
    <tableColumn id="8" xr3:uid="{6176D369-24E6-422B-8D45-4A1565FE6E42}" name="Term (5 yrs, 10 yrs, etc.)" dataDxfId="41"/>
    <tableColumn id="9" xr3:uid="{DA6E8D22-5A25-4D64-AFA6-E9CB4EC7B111}" name="Payment Period [monthly(M) / bi-monthly(B) / Annually(A) / quarterly(Q)]" dataDxfId="40"/>
    <tableColumn id="10" xr3:uid="{00CFC7AB-E42B-41F7-A286-6AE943BD04BC}" name="Number of payments" dataDxfId="39"/>
    <tableColumn id="11" xr3:uid="{B860FC77-A921-4CEC-859F-17DE33A88349}" name="Annual Interest Rate" dataDxfId="38"/>
    <tableColumn id="12" xr3:uid="{96A90917-A94A-436F-B8E5-7D4EFC8C03BF}" name="Future Value ($)" dataDxfId="37" dataCellStyle="Comma"/>
    <tableColumn id="16" xr3:uid="{39267F4C-1467-4961-9ABC-F83AB77BBDB5}" name="Option to extend how many periods?" dataDxfId="36" dataCellStyle="Comma"/>
    <tableColumn id="17" xr3:uid="{2E8AE1B7-0D28-447A-B766-D1DF019C68E7}" name="Likely to take extension options (Y/N)?" dataDxfId="35" dataCellStyle="Comma"/>
    <tableColumn id="13" xr3:uid="{CDFED010-CCE1-4139-8CD9-8F05D9BC0C8A}" name="Purchase Option ($)" dataDxfId="34" dataCellStyle="Comma"/>
    <tableColumn id="14" xr3:uid="{849D86AF-BFCB-4BBA-BD94-59B956FBA9F8}" name="Likely to take purchase option (Y/N)" dataDxfId="33" dataCellStyle="Comma"/>
    <tableColumn id="15" xr3:uid="{DAC3D63C-1EB9-48B6-A027-C6ACDF5182FA}" name="Agreement attached? Or provide link" dataDxfId="32" dataCellStyle="Comma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284FB6A-E6FE-4CEC-B582-3C4CFB86AB14}" name="Table8" displayName="Table8" ref="L4:O105" totalsRowShown="0" dataDxfId="29" tableBorderDxfId="28">
  <autoFilter ref="L4:O105" xr:uid="{BA4F12CB-2957-4E1A-A5D7-BDA3C1D7822A}"/>
  <tableColumns count="4">
    <tableColumn id="1" xr3:uid="{53A51D0C-9BC8-490C-83BC-2F41EF93CB24}" name="Period" dataDxfId="27"/>
    <tableColumn id="2" xr3:uid="{FAEE1983-CEC0-4464-877A-9819F9B28898}" name="Month" dataDxfId="26"/>
    <tableColumn id="3" xr3:uid="{12FE4C1E-0709-4DFF-99A8-D0692BC34741}" name="Amortization" dataDxfId="25"/>
    <tableColumn id="4" xr3:uid="{4BE1E026-DD0A-4276-AC63-172230E4B2FB}" name="Balance" dataDxfId="24"/>
  </tableColumns>
  <tableStyleInfo name="TableStyleDark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74D686D-A220-4D7B-834A-16F613B50005}" name="Table810" displayName="Table810" ref="U4:Z105" totalsRowShown="0" dataDxfId="23" tableBorderDxfId="22">
  <autoFilter ref="U4:Z105" xr:uid="{570CE09C-147F-4645-9D20-23531CA4ABC8}"/>
  <tableColumns count="6">
    <tableColumn id="1" xr3:uid="{A0601FC1-7B3E-4561-B5A1-AACAAA13C203}" name="Period" dataDxfId="21"/>
    <tableColumn id="2" xr3:uid="{F6C72AE1-AA41-480D-9BAA-7B2EAA75D97B}" name="Month" dataDxfId="20"/>
    <tableColumn id="3" xr3:uid="{13F31E8A-4985-414B-A034-35FA061E37B4}" name="Payment" dataDxfId="19"/>
    <tableColumn id="5" xr3:uid="{050DAF75-D5AE-475D-8ECC-7FDFA4943DD3}" name="Interest" dataDxfId="18"/>
    <tableColumn id="6" xr3:uid="{3B693B55-2660-4900-B34F-3FADC3479B18}" name="Principal" dataDxfId="17">
      <calculatedColumnFormula>Table810[[#This Row],[Payment]]-Table810[[#This Row],[Interest]]</calculatedColumnFormula>
    </tableColumn>
    <tableColumn id="4" xr3:uid="{394F34DA-6D98-48DF-A11E-3CF6852A3C9C}" name="Balance" dataDxfId="16"/>
  </tableColumns>
  <tableStyleInfo name="TableStyleDark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3F6E257-C118-4142-8195-5FF936FCC922}" name="Table85" displayName="Table85" ref="L4:O105" totalsRowShown="0" dataDxfId="13" tableBorderDxfId="12">
  <autoFilter ref="L4:O105" xr:uid="{BA4F12CB-2957-4E1A-A5D7-BDA3C1D7822A}"/>
  <tableColumns count="4">
    <tableColumn id="1" xr3:uid="{5554356B-CB1D-4F80-9C68-A22B99AE4B4E}" name="Period" dataDxfId="11"/>
    <tableColumn id="2" xr3:uid="{46EB0266-8D77-4EDC-9358-5B23881BCF8D}" name="Month" dataDxfId="10"/>
    <tableColumn id="3" xr3:uid="{6C459310-8106-467B-BC5D-8C369395E87C}" name="Amortization" dataDxfId="9"/>
    <tableColumn id="4" xr3:uid="{9395E029-FABF-404A-9A93-058A80A0DA2B}" name="Balance" dataDxfId="8"/>
  </tableColumns>
  <tableStyleInfo name="TableStyleDark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DC8C85-E5E8-40CD-935E-665A4B3E29B3}" name="Table8106" displayName="Table8106" ref="U4:Z105" totalsRowShown="0" dataDxfId="7" tableBorderDxfId="6">
  <autoFilter ref="U4:Z105" xr:uid="{570CE09C-147F-4645-9D20-23531CA4ABC8}"/>
  <tableColumns count="6">
    <tableColumn id="1" xr3:uid="{4EBF3286-3653-4E86-83D2-6CA25BD78DD1}" name="Period" dataDxfId="5"/>
    <tableColumn id="2" xr3:uid="{209B98CA-7349-4DD7-8CA4-FD7C5B0A4DDA}" name="Month" dataDxfId="4"/>
    <tableColumn id="3" xr3:uid="{4F65BF7A-C215-42C5-B118-B6A32B4AE15D}" name="Payment" dataDxfId="3"/>
    <tableColumn id="5" xr3:uid="{EB4DAB88-AEE4-4CA4-8797-F2C110929D32}" name="Interest" dataDxfId="2"/>
    <tableColumn id="6" xr3:uid="{BE2145FB-B06D-4CED-B2D4-5EA8B4D167A7}" name="Principal" dataDxfId="0">
      <calculatedColumnFormula>Table8106[[#This Row],[Payment]]-Table8106[[#This Row],[Interest]]</calculatedColumnFormula>
    </tableColumn>
    <tableColumn id="4" xr3:uid="{B30E3B08-B254-4470-9835-38A71FE0B205}" name="Balance" dataDxfId="1"/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51B26-AB10-4EAE-A23A-34CC0090F32D}">
  <dimension ref="A1:Y108"/>
  <sheetViews>
    <sheetView showGridLines="0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6" sqref="C6"/>
    </sheetView>
  </sheetViews>
  <sheetFormatPr defaultColWidth="9.140625" defaultRowHeight="14.25" x14ac:dyDescent="0.2"/>
  <cols>
    <col min="1" max="1" width="9.140625" style="1"/>
    <col min="2" max="2" width="25.5703125" style="1" customWidth="1"/>
    <col min="3" max="3" width="31.140625" style="1" customWidth="1"/>
    <col min="4" max="4" width="16.7109375" style="1" customWidth="1"/>
    <col min="5" max="5" width="13.42578125" style="1" customWidth="1"/>
    <col min="6" max="6" width="16.7109375" style="1" customWidth="1"/>
    <col min="7" max="7" width="16.28515625" style="1" customWidth="1"/>
    <col min="8" max="8" width="14.42578125" style="1" customWidth="1"/>
    <col min="9" max="9" width="15.42578125" style="1" customWidth="1"/>
    <col min="10" max="10" width="14" style="1" customWidth="1"/>
    <col min="11" max="11" width="13" style="1" customWidth="1"/>
    <col min="12" max="12" width="14.42578125" style="1" customWidth="1"/>
    <col min="13" max="14" width="12.5703125" style="1" customWidth="1"/>
    <col min="15" max="17" width="15" style="4" customWidth="1"/>
    <col min="18" max="18" width="1.7109375" style="5" customWidth="1"/>
    <col min="19" max="20" width="9.140625" style="1"/>
    <col min="21" max="21" width="13" style="1" bestFit="1" customWidth="1"/>
    <col min="22" max="22" width="13.42578125" style="1" bestFit="1" customWidth="1"/>
    <col min="23" max="23" width="9.5703125" style="1" bestFit="1" customWidth="1"/>
    <col min="24" max="24" width="17.5703125" style="1" bestFit="1" customWidth="1"/>
    <col min="25" max="25" width="40" style="1" customWidth="1"/>
    <col min="26" max="16384" width="9.140625" style="1"/>
  </cols>
  <sheetData>
    <row r="1" spans="1:25" ht="15" x14ac:dyDescent="0.25">
      <c r="A1" s="159" t="s">
        <v>6</v>
      </c>
      <c r="B1" s="159"/>
      <c r="C1" s="160" t="s">
        <v>84</v>
      </c>
      <c r="D1" s="160"/>
      <c r="E1" s="160"/>
      <c r="F1" s="160"/>
      <c r="G1" s="160"/>
      <c r="H1" s="160"/>
      <c r="S1" s="6"/>
      <c r="T1" s="6"/>
      <c r="U1" s="6"/>
      <c r="V1" s="6"/>
      <c r="W1" s="6"/>
      <c r="X1" s="6"/>
    </row>
    <row r="2" spans="1:25" ht="15" x14ac:dyDescent="0.25">
      <c r="S2" s="161" t="s">
        <v>20</v>
      </c>
      <c r="T2" s="161"/>
      <c r="U2" s="161"/>
      <c r="V2" s="161"/>
      <c r="W2" s="161"/>
      <c r="X2" s="10"/>
    </row>
    <row r="3" spans="1:25" ht="15" x14ac:dyDescent="0.25">
      <c r="A3" s="1" t="s">
        <v>120</v>
      </c>
      <c r="S3" s="161" t="s">
        <v>15</v>
      </c>
      <c r="T3" s="161"/>
      <c r="U3" s="161"/>
      <c r="V3" s="161"/>
      <c r="W3" s="161"/>
      <c r="X3" s="10"/>
    </row>
    <row r="4" spans="1:25" ht="15" thickBot="1" x14ac:dyDescent="0.25">
      <c r="S4" s="6"/>
      <c r="T4" s="6"/>
      <c r="U4" s="6"/>
      <c r="V4" s="6"/>
      <c r="W4" s="6"/>
      <c r="X4" s="6"/>
    </row>
    <row r="5" spans="1:25" ht="30" customHeight="1" thickBot="1" x14ac:dyDescent="0.25">
      <c r="A5" s="68"/>
      <c r="B5" s="68"/>
      <c r="C5" s="68"/>
      <c r="D5" s="162" t="s">
        <v>23</v>
      </c>
      <c r="E5" s="163"/>
      <c r="F5" s="163"/>
      <c r="G5" s="163"/>
      <c r="H5" s="163"/>
      <c r="I5" s="163"/>
      <c r="J5" s="163"/>
      <c r="K5" s="163"/>
      <c r="L5" s="164"/>
      <c r="M5" s="154" t="s">
        <v>30</v>
      </c>
      <c r="N5" s="155"/>
      <c r="O5" s="155"/>
      <c r="P5" s="156"/>
      <c r="Q5" s="60" t="s">
        <v>27</v>
      </c>
      <c r="R5" s="18"/>
      <c r="S5" s="151" t="s">
        <v>22</v>
      </c>
      <c r="T5" s="152"/>
      <c r="U5" s="152"/>
      <c r="V5" s="152"/>
      <c r="W5" s="152"/>
      <c r="X5" s="153"/>
      <c r="Y5" s="157" t="s">
        <v>35</v>
      </c>
    </row>
    <row r="6" spans="1:25" s="2" customFormat="1" ht="99.75" customHeight="1" thickBot="1" x14ac:dyDescent="0.3">
      <c r="A6" s="13" t="s">
        <v>0</v>
      </c>
      <c r="B6" s="14" t="s">
        <v>1</v>
      </c>
      <c r="C6" s="69" t="s">
        <v>2</v>
      </c>
      <c r="D6" s="61" t="s">
        <v>3</v>
      </c>
      <c r="E6" s="43" t="s">
        <v>25</v>
      </c>
      <c r="F6" s="43" t="s">
        <v>4</v>
      </c>
      <c r="G6" s="43" t="s">
        <v>19</v>
      </c>
      <c r="H6" s="43" t="s">
        <v>16</v>
      </c>
      <c r="I6" s="43" t="s">
        <v>7</v>
      </c>
      <c r="J6" s="44" t="s">
        <v>5</v>
      </c>
      <c r="K6" s="43" t="s">
        <v>8</v>
      </c>
      <c r="L6" s="65" t="s">
        <v>21</v>
      </c>
      <c r="M6" s="61" t="s">
        <v>31</v>
      </c>
      <c r="N6" s="43" t="s">
        <v>32</v>
      </c>
      <c r="O6" s="45" t="s">
        <v>9</v>
      </c>
      <c r="P6" s="45" t="s">
        <v>33</v>
      </c>
      <c r="Q6" s="62" t="s">
        <v>28</v>
      </c>
      <c r="R6" s="15"/>
      <c r="S6" s="7" t="s">
        <v>10</v>
      </c>
      <c r="T6" s="8" t="s">
        <v>11</v>
      </c>
      <c r="U6" s="8" t="s">
        <v>12</v>
      </c>
      <c r="V6" s="8" t="s">
        <v>13</v>
      </c>
      <c r="W6" s="11" t="s">
        <v>14</v>
      </c>
      <c r="X6" s="12" t="s">
        <v>24</v>
      </c>
      <c r="Y6" s="158"/>
    </row>
    <row r="7" spans="1:25" s="9" customFormat="1" ht="60.75" thickBot="1" x14ac:dyDescent="0.3">
      <c r="A7" s="46">
        <v>0</v>
      </c>
      <c r="B7" s="47" t="s">
        <v>71</v>
      </c>
      <c r="C7" s="47" t="s">
        <v>17</v>
      </c>
      <c r="D7" s="66">
        <v>42948</v>
      </c>
      <c r="E7" s="49">
        <v>2500</v>
      </c>
      <c r="F7" s="48">
        <v>42979</v>
      </c>
      <c r="G7" s="49">
        <v>1000</v>
      </c>
      <c r="H7" s="47">
        <v>5</v>
      </c>
      <c r="I7" s="47" t="s">
        <v>18</v>
      </c>
      <c r="J7" s="47">
        <f>H7*(IF(I7="M",12,IF(I7="b",6,IF(I7="a",1,IF(I7="q",4,0)))))</f>
        <v>60</v>
      </c>
      <c r="K7" s="50">
        <v>0.03</v>
      </c>
      <c r="L7" s="67">
        <v>2000</v>
      </c>
      <c r="M7" s="63">
        <v>0</v>
      </c>
      <c r="N7" s="53" t="s">
        <v>34</v>
      </c>
      <c r="O7" s="49">
        <v>2000</v>
      </c>
      <c r="P7" s="49" t="s">
        <v>26</v>
      </c>
      <c r="Q7" s="64" t="s">
        <v>29</v>
      </c>
      <c r="R7" s="15"/>
      <c r="S7" s="47">
        <f>K7/12</f>
        <v>2.5000000000000001E-3</v>
      </c>
      <c r="T7" s="47">
        <f>IF(Table6[[#This Row],[Likely to take extension options (Y/N)?]]="Y",Table6[[#This Row],[Option to extend how many periods?]]+Table6[[#This Row],[Number of payments]],Table6[[#This Row],[Number of payments]])</f>
        <v>60</v>
      </c>
      <c r="U7" s="51">
        <f>G7</f>
        <v>1000</v>
      </c>
      <c r="V7" s="51">
        <f>O7</f>
        <v>2000</v>
      </c>
      <c r="W7" s="47">
        <v>1</v>
      </c>
      <c r="X7" s="52">
        <f>PV(S7,T7,U7,V7,W7)</f>
        <v>-57513.226792587302</v>
      </c>
      <c r="Y7" s="9" t="s">
        <v>36</v>
      </c>
    </row>
    <row r="8" spans="1:25" s="9" customFormat="1" ht="75.75" thickBot="1" x14ac:dyDescent="0.3">
      <c r="A8" s="117">
        <v>0</v>
      </c>
      <c r="B8" s="118" t="s">
        <v>72</v>
      </c>
      <c r="C8" s="118" t="s">
        <v>17</v>
      </c>
      <c r="D8" s="119">
        <v>43678</v>
      </c>
      <c r="E8" s="120">
        <v>2500</v>
      </c>
      <c r="F8" s="119">
        <v>43709</v>
      </c>
      <c r="G8" s="120">
        <v>1000</v>
      </c>
      <c r="H8" s="118">
        <v>5</v>
      </c>
      <c r="I8" s="118" t="s">
        <v>18</v>
      </c>
      <c r="J8" s="47">
        <f>H8*(IF(I8="M",12,IF(I8="b",6,IF(I8="a",1,IF(I8="q",4,0)))))</f>
        <v>60</v>
      </c>
      <c r="K8" s="121">
        <v>0.03</v>
      </c>
      <c r="L8" s="122">
        <v>2000</v>
      </c>
      <c r="M8" s="123">
        <v>0</v>
      </c>
      <c r="N8" s="123" t="s">
        <v>34</v>
      </c>
      <c r="O8" s="120">
        <v>2000</v>
      </c>
      <c r="P8" s="120" t="s">
        <v>26</v>
      </c>
      <c r="Q8" s="64" t="s">
        <v>73</v>
      </c>
      <c r="R8" s="116"/>
      <c r="S8" s="47">
        <f>K8/12</f>
        <v>2.5000000000000001E-3</v>
      </c>
      <c r="T8" s="47">
        <f>IF(Table6[[#This Row],[Likely to take extension options (Y/N)?]]="Y",Table6[[#This Row],[Option to extend how many periods?]]+Table6[[#This Row],[Number of payments]],Table6[[#This Row],[Number of payments]])</f>
        <v>60</v>
      </c>
      <c r="U8" s="51">
        <f>G8</f>
        <v>1000</v>
      </c>
      <c r="V8" s="51">
        <f>O8</f>
        <v>2000</v>
      </c>
      <c r="W8" s="47">
        <v>2</v>
      </c>
      <c r="X8" s="52">
        <f>PV(S8,T8,U8,V8,W8)</f>
        <v>-57513.226792587302</v>
      </c>
      <c r="Y8" s="9" t="s">
        <v>36</v>
      </c>
    </row>
    <row r="9" spans="1:25" x14ac:dyDescent="0.2">
      <c r="A9" s="29">
        <v>1</v>
      </c>
      <c r="B9" s="30" t="s">
        <v>83</v>
      </c>
      <c r="C9" s="30" t="s">
        <v>85</v>
      </c>
      <c r="D9" s="31">
        <v>44378</v>
      </c>
      <c r="E9" s="32">
        <v>1500</v>
      </c>
      <c r="F9" s="31">
        <v>44378</v>
      </c>
      <c r="G9" s="32">
        <v>1000</v>
      </c>
      <c r="H9" s="134">
        <v>5</v>
      </c>
      <c r="I9" s="134" t="s">
        <v>18</v>
      </c>
      <c r="J9" s="33">
        <f t="shared" ref="J9:J72" si="0">H9*(IF(I9="M",12,IF(I9="b",6,IF(I9="a",1,IF(I9="q",4,0)))))</f>
        <v>60</v>
      </c>
      <c r="K9" s="34">
        <v>0.04</v>
      </c>
      <c r="L9" s="32">
        <v>0</v>
      </c>
      <c r="M9" s="135">
        <v>24</v>
      </c>
      <c r="N9" s="135" t="s">
        <v>34</v>
      </c>
      <c r="O9" s="135">
        <v>0</v>
      </c>
      <c r="P9" s="135" t="s">
        <v>34</v>
      </c>
      <c r="Q9" s="135"/>
      <c r="R9" s="35"/>
      <c r="S9" s="36">
        <f t="shared" ref="S9:S72" si="1">K9/12</f>
        <v>3.3333333333333335E-3</v>
      </c>
      <c r="T9" s="36">
        <f>IF(Table6[[#This Row],[Likely to take extension options (Y/N)?]]="Y",Table6[[#This Row],[Option to extend how many periods?]]+Table6[[#This Row],[Number of payments]],Table6[[#This Row],[Number of payments]])</f>
        <v>60</v>
      </c>
      <c r="U9" s="54">
        <f t="shared" ref="U9:U72" si="2">G9</f>
        <v>1000</v>
      </c>
      <c r="V9" s="54">
        <f t="shared" ref="V9:V72" si="3">O9</f>
        <v>0</v>
      </c>
      <c r="W9" s="36">
        <v>1</v>
      </c>
      <c r="X9" s="55">
        <f t="shared" ref="X9:X72" si="4">PV(S9,T9,U9,V9,W9)</f>
        <v>-54480.065797572614</v>
      </c>
      <c r="Y9" s="136" t="s">
        <v>86</v>
      </c>
    </row>
    <row r="10" spans="1:25" x14ac:dyDescent="0.2">
      <c r="A10" s="28">
        <v>2</v>
      </c>
      <c r="B10" s="19"/>
      <c r="C10" s="19"/>
      <c r="D10" s="20"/>
      <c r="E10" s="21"/>
      <c r="F10" s="20"/>
      <c r="G10" s="21"/>
      <c r="H10" s="19"/>
      <c r="I10" s="19"/>
      <c r="J10" s="22">
        <f t="shared" si="0"/>
        <v>0</v>
      </c>
      <c r="K10" s="23"/>
      <c r="L10" s="21"/>
      <c r="M10" s="21"/>
      <c r="N10" s="21"/>
      <c r="O10" s="21"/>
      <c r="P10" s="21"/>
      <c r="Q10" s="21"/>
      <c r="R10" s="24"/>
      <c r="S10" s="25">
        <f t="shared" si="1"/>
        <v>0</v>
      </c>
      <c r="T10" s="25">
        <f>IF(Table6[[#This Row],[Likely to take extension options (Y/N)?]]="Y",Table6[[#This Row],[Option to extend how many periods?]]+Table6[[#This Row],[Number of payments]],Table6[[#This Row],[Number of payments]])</f>
        <v>0</v>
      </c>
      <c r="U10" s="56">
        <f t="shared" si="2"/>
        <v>0</v>
      </c>
      <c r="V10" s="56">
        <f t="shared" si="3"/>
        <v>0</v>
      </c>
      <c r="W10" s="25">
        <v>1</v>
      </c>
      <c r="X10" s="57">
        <f t="shared" si="4"/>
        <v>0</v>
      </c>
    </row>
    <row r="11" spans="1:25" x14ac:dyDescent="0.2">
      <c r="A11" s="28">
        <v>3</v>
      </c>
      <c r="B11" s="19"/>
      <c r="C11" s="19"/>
      <c r="D11" s="20"/>
      <c r="E11" s="21"/>
      <c r="F11" s="20"/>
      <c r="G11" s="21"/>
      <c r="H11" s="19"/>
      <c r="I11" s="19"/>
      <c r="J11" s="22">
        <f t="shared" si="0"/>
        <v>0</v>
      </c>
      <c r="K11" s="23"/>
      <c r="L11" s="21"/>
      <c r="M11" s="21"/>
      <c r="N11" s="21"/>
      <c r="O11" s="21"/>
      <c r="P11" s="21"/>
      <c r="Q11" s="21"/>
      <c r="R11" s="24"/>
      <c r="S11" s="25">
        <f t="shared" si="1"/>
        <v>0</v>
      </c>
      <c r="T11" s="25">
        <f>IF(Table6[[#This Row],[Likely to take extension options (Y/N)?]]="Y",Table6[[#This Row],[Option to extend how many periods?]]+Table6[[#This Row],[Number of payments]],Table6[[#This Row],[Number of payments]])</f>
        <v>0</v>
      </c>
      <c r="U11" s="56">
        <f t="shared" si="2"/>
        <v>0</v>
      </c>
      <c r="V11" s="56">
        <f t="shared" si="3"/>
        <v>0</v>
      </c>
      <c r="W11" s="25">
        <v>1</v>
      </c>
      <c r="X11" s="57">
        <f t="shared" si="4"/>
        <v>0</v>
      </c>
    </row>
    <row r="12" spans="1:25" x14ac:dyDescent="0.2">
      <c r="A12" s="28">
        <v>4</v>
      </c>
      <c r="B12" s="19"/>
      <c r="C12" s="19"/>
      <c r="D12" s="20"/>
      <c r="E12" s="21"/>
      <c r="F12" s="20"/>
      <c r="G12" s="21"/>
      <c r="H12" s="19"/>
      <c r="I12" s="19"/>
      <c r="J12" s="22">
        <f t="shared" si="0"/>
        <v>0</v>
      </c>
      <c r="K12" s="23"/>
      <c r="L12" s="21"/>
      <c r="M12" s="21"/>
      <c r="N12" s="21"/>
      <c r="O12" s="21"/>
      <c r="P12" s="21"/>
      <c r="Q12" s="21"/>
      <c r="R12" s="24"/>
      <c r="S12" s="25">
        <f t="shared" si="1"/>
        <v>0</v>
      </c>
      <c r="T12" s="25">
        <f>IF(Table6[[#This Row],[Likely to take extension options (Y/N)?]]="Y",Table6[[#This Row],[Option to extend how many periods?]]+Table6[[#This Row],[Number of payments]],Table6[[#This Row],[Number of payments]])</f>
        <v>0</v>
      </c>
      <c r="U12" s="56">
        <f t="shared" si="2"/>
        <v>0</v>
      </c>
      <c r="V12" s="56">
        <f t="shared" si="3"/>
        <v>0</v>
      </c>
      <c r="W12" s="25">
        <v>1</v>
      </c>
      <c r="X12" s="57">
        <f t="shared" si="4"/>
        <v>0</v>
      </c>
    </row>
    <row r="13" spans="1:25" x14ac:dyDescent="0.2">
      <c r="A13" s="28">
        <v>5</v>
      </c>
      <c r="B13" s="19"/>
      <c r="C13" s="19"/>
      <c r="D13" s="20"/>
      <c r="E13" s="21"/>
      <c r="F13" s="20"/>
      <c r="G13" s="21"/>
      <c r="H13" s="19"/>
      <c r="I13" s="19"/>
      <c r="J13" s="22">
        <f t="shared" si="0"/>
        <v>0</v>
      </c>
      <c r="K13" s="23"/>
      <c r="L13" s="21"/>
      <c r="M13" s="21"/>
      <c r="N13" s="21"/>
      <c r="O13" s="21"/>
      <c r="P13" s="21"/>
      <c r="Q13" s="21"/>
      <c r="R13" s="24"/>
      <c r="S13" s="25">
        <f t="shared" si="1"/>
        <v>0</v>
      </c>
      <c r="T13" s="25">
        <f>IF(Table6[[#This Row],[Likely to take extension options (Y/N)?]]="Y",Table6[[#This Row],[Option to extend how many periods?]]+Table6[[#This Row],[Number of payments]],Table6[[#This Row],[Number of payments]])</f>
        <v>0</v>
      </c>
      <c r="U13" s="56">
        <f t="shared" si="2"/>
        <v>0</v>
      </c>
      <c r="V13" s="56">
        <f t="shared" si="3"/>
        <v>0</v>
      </c>
      <c r="W13" s="25">
        <v>1</v>
      </c>
      <c r="X13" s="57">
        <f t="shared" si="4"/>
        <v>0</v>
      </c>
    </row>
    <row r="14" spans="1:25" x14ac:dyDescent="0.2">
      <c r="A14" s="28">
        <v>6</v>
      </c>
      <c r="B14" s="19"/>
      <c r="C14" s="19"/>
      <c r="D14" s="20"/>
      <c r="E14" s="21"/>
      <c r="F14" s="20"/>
      <c r="G14" s="21"/>
      <c r="H14" s="19"/>
      <c r="I14" s="19"/>
      <c r="J14" s="22">
        <f t="shared" si="0"/>
        <v>0</v>
      </c>
      <c r="K14" s="23"/>
      <c r="L14" s="21"/>
      <c r="M14" s="21"/>
      <c r="N14" s="21"/>
      <c r="O14" s="21"/>
      <c r="P14" s="21"/>
      <c r="Q14" s="21"/>
      <c r="R14" s="24"/>
      <c r="S14" s="25">
        <f t="shared" si="1"/>
        <v>0</v>
      </c>
      <c r="T14" s="25">
        <f>IF(Table6[[#This Row],[Likely to take extension options (Y/N)?]]="Y",Table6[[#This Row],[Option to extend how many periods?]]+Table6[[#This Row],[Number of payments]],Table6[[#This Row],[Number of payments]])</f>
        <v>0</v>
      </c>
      <c r="U14" s="56">
        <f t="shared" si="2"/>
        <v>0</v>
      </c>
      <c r="V14" s="56">
        <f t="shared" si="3"/>
        <v>0</v>
      </c>
      <c r="W14" s="25">
        <v>1</v>
      </c>
      <c r="X14" s="57">
        <f t="shared" si="4"/>
        <v>0</v>
      </c>
    </row>
    <row r="15" spans="1:25" x14ac:dyDescent="0.2">
      <c r="A15" s="28">
        <v>7</v>
      </c>
      <c r="B15" s="19"/>
      <c r="C15" s="19"/>
      <c r="D15" s="20"/>
      <c r="E15" s="21"/>
      <c r="F15" s="20"/>
      <c r="G15" s="21"/>
      <c r="H15" s="19"/>
      <c r="I15" s="19"/>
      <c r="J15" s="22">
        <f t="shared" si="0"/>
        <v>0</v>
      </c>
      <c r="K15" s="23"/>
      <c r="L15" s="21"/>
      <c r="M15" s="21"/>
      <c r="N15" s="21"/>
      <c r="O15" s="21"/>
      <c r="P15" s="21"/>
      <c r="Q15" s="21"/>
      <c r="R15" s="24"/>
      <c r="S15" s="25">
        <f t="shared" si="1"/>
        <v>0</v>
      </c>
      <c r="T15" s="25">
        <f>IF(Table6[[#This Row],[Likely to take extension options (Y/N)?]]="Y",Table6[[#This Row],[Option to extend how many periods?]]+Table6[[#This Row],[Number of payments]],Table6[[#This Row],[Number of payments]])</f>
        <v>0</v>
      </c>
      <c r="U15" s="56">
        <f t="shared" si="2"/>
        <v>0</v>
      </c>
      <c r="V15" s="56">
        <f t="shared" si="3"/>
        <v>0</v>
      </c>
      <c r="W15" s="25">
        <v>1</v>
      </c>
      <c r="X15" s="57">
        <f t="shared" si="4"/>
        <v>0</v>
      </c>
    </row>
    <row r="16" spans="1:25" x14ac:dyDescent="0.2">
      <c r="A16" s="28">
        <v>8</v>
      </c>
      <c r="B16" s="19"/>
      <c r="C16" s="19"/>
      <c r="D16" s="20"/>
      <c r="E16" s="21"/>
      <c r="F16" s="20"/>
      <c r="G16" s="21"/>
      <c r="H16" s="19"/>
      <c r="I16" s="19"/>
      <c r="J16" s="22">
        <f t="shared" si="0"/>
        <v>0</v>
      </c>
      <c r="K16" s="23"/>
      <c r="L16" s="21"/>
      <c r="M16" s="21"/>
      <c r="N16" s="21"/>
      <c r="O16" s="21"/>
      <c r="P16" s="21"/>
      <c r="Q16" s="21"/>
      <c r="R16" s="24"/>
      <c r="S16" s="25">
        <f t="shared" si="1"/>
        <v>0</v>
      </c>
      <c r="T16" s="25">
        <f>IF(Table6[[#This Row],[Likely to take extension options (Y/N)?]]="Y",Table6[[#This Row],[Option to extend how many periods?]]+Table6[[#This Row],[Number of payments]],Table6[[#This Row],[Number of payments]])</f>
        <v>0</v>
      </c>
      <c r="U16" s="56">
        <f t="shared" si="2"/>
        <v>0</v>
      </c>
      <c r="V16" s="56">
        <f t="shared" si="3"/>
        <v>0</v>
      </c>
      <c r="W16" s="25">
        <v>1</v>
      </c>
      <c r="X16" s="57">
        <f t="shared" si="4"/>
        <v>0</v>
      </c>
    </row>
    <row r="17" spans="1:24" x14ac:dyDescent="0.2">
      <c r="A17" s="28">
        <v>9</v>
      </c>
      <c r="B17" s="19"/>
      <c r="C17" s="19"/>
      <c r="D17" s="20"/>
      <c r="E17" s="21"/>
      <c r="F17" s="20"/>
      <c r="G17" s="21"/>
      <c r="H17" s="19"/>
      <c r="I17" s="19"/>
      <c r="J17" s="22">
        <f t="shared" si="0"/>
        <v>0</v>
      </c>
      <c r="K17" s="23"/>
      <c r="L17" s="21"/>
      <c r="M17" s="21"/>
      <c r="N17" s="21"/>
      <c r="O17" s="21"/>
      <c r="P17" s="21"/>
      <c r="Q17" s="21"/>
      <c r="R17" s="24"/>
      <c r="S17" s="25">
        <f t="shared" si="1"/>
        <v>0</v>
      </c>
      <c r="T17" s="25">
        <f>IF(Table6[[#This Row],[Likely to take extension options (Y/N)?]]="Y",Table6[[#This Row],[Option to extend how many periods?]]+Table6[[#This Row],[Number of payments]],Table6[[#This Row],[Number of payments]])</f>
        <v>0</v>
      </c>
      <c r="U17" s="56">
        <f t="shared" si="2"/>
        <v>0</v>
      </c>
      <c r="V17" s="56">
        <f t="shared" si="3"/>
        <v>0</v>
      </c>
      <c r="W17" s="25">
        <v>1</v>
      </c>
      <c r="X17" s="57">
        <f t="shared" si="4"/>
        <v>0</v>
      </c>
    </row>
    <row r="18" spans="1:24" x14ac:dyDescent="0.2">
      <c r="A18" s="28">
        <v>10</v>
      </c>
      <c r="B18" s="19"/>
      <c r="C18" s="19"/>
      <c r="D18" s="20"/>
      <c r="E18" s="21"/>
      <c r="F18" s="20"/>
      <c r="G18" s="21"/>
      <c r="H18" s="19"/>
      <c r="I18" s="19"/>
      <c r="J18" s="22">
        <f t="shared" si="0"/>
        <v>0</v>
      </c>
      <c r="K18" s="23"/>
      <c r="L18" s="21"/>
      <c r="M18" s="21"/>
      <c r="N18" s="21"/>
      <c r="O18" s="21"/>
      <c r="P18" s="21"/>
      <c r="Q18" s="21"/>
      <c r="R18" s="24"/>
      <c r="S18" s="25">
        <f t="shared" si="1"/>
        <v>0</v>
      </c>
      <c r="T18" s="25">
        <f>IF(Table6[[#This Row],[Likely to take extension options (Y/N)?]]="Y",Table6[[#This Row],[Option to extend how many periods?]]+Table6[[#This Row],[Number of payments]],Table6[[#This Row],[Number of payments]])</f>
        <v>0</v>
      </c>
      <c r="U18" s="56">
        <f t="shared" si="2"/>
        <v>0</v>
      </c>
      <c r="V18" s="56">
        <f t="shared" si="3"/>
        <v>0</v>
      </c>
      <c r="W18" s="25">
        <v>1</v>
      </c>
      <c r="X18" s="57">
        <f t="shared" si="4"/>
        <v>0</v>
      </c>
    </row>
    <row r="19" spans="1:24" x14ac:dyDescent="0.2">
      <c r="A19" s="28">
        <v>11</v>
      </c>
      <c r="B19" s="19"/>
      <c r="C19" s="19"/>
      <c r="D19" s="20"/>
      <c r="E19" s="21"/>
      <c r="F19" s="20"/>
      <c r="G19" s="21"/>
      <c r="H19" s="19"/>
      <c r="I19" s="19"/>
      <c r="J19" s="22">
        <f t="shared" si="0"/>
        <v>0</v>
      </c>
      <c r="K19" s="23"/>
      <c r="L19" s="21"/>
      <c r="M19" s="21"/>
      <c r="N19" s="21"/>
      <c r="O19" s="21"/>
      <c r="P19" s="21"/>
      <c r="Q19" s="21"/>
      <c r="R19" s="24"/>
      <c r="S19" s="25">
        <f t="shared" si="1"/>
        <v>0</v>
      </c>
      <c r="T19" s="25">
        <f>IF(Table6[[#This Row],[Likely to take extension options (Y/N)?]]="Y",Table6[[#This Row],[Option to extend how many periods?]]+Table6[[#This Row],[Number of payments]],Table6[[#This Row],[Number of payments]])</f>
        <v>0</v>
      </c>
      <c r="U19" s="56">
        <f t="shared" si="2"/>
        <v>0</v>
      </c>
      <c r="V19" s="56">
        <f t="shared" si="3"/>
        <v>0</v>
      </c>
      <c r="W19" s="25">
        <v>1</v>
      </c>
      <c r="X19" s="57">
        <f t="shared" si="4"/>
        <v>0</v>
      </c>
    </row>
    <row r="20" spans="1:24" x14ac:dyDescent="0.2">
      <c r="A20" s="28">
        <v>12</v>
      </c>
      <c r="B20" s="19"/>
      <c r="C20" s="19"/>
      <c r="D20" s="20"/>
      <c r="E20" s="21"/>
      <c r="F20" s="20"/>
      <c r="G20" s="21"/>
      <c r="H20" s="19"/>
      <c r="I20" s="19"/>
      <c r="J20" s="22">
        <f t="shared" si="0"/>
        <v>0</v>
      </c>
      <c r="K20" s="23"/>
      <c r="L20" s="21"/>
      <c r="M20" s="21"/>
      <c r="N20" s="21"/>
      <c r="O20" s="21"/>
      <c r="P20" s="21"/>
      <c r="Q20" s="21"/>
      <c r="R20" s="24"/>
      <c r="S20" s="25">
        <f t="shared" si="1"/>
        <v>0</v>
      </c>
      <c r="T20" s="25">
        <f>IF(Table6[[#This Row],[Likely to take extension options (Y/N)?]]="Y",Table6[[#This Row],[Option to extend how many periods?]]+Table6[[#This Row],[Number of payments]],Table6[[#This Row],[Number of payments]])</f>
        <v>0</v>
      </c>
      <c r="U20" s="56">
        <f t="shared" si="2"/>
        <v>0</v>
      </c>
      <c r="V20" s="56">
        <f t="shared" si="3"/>
        <v>0</v>
      </c>
      <c r="W20" s="25">
        <v>1</v>
      </c>
      <c r="X20" s="57">
        <f t="shared" si="4"/>
        <v>0</v>
      </c>
    </row>
    <row r="21" spans="1:24" x14ac:dyDescent="0.2">
      <c r="A21" s="28">
        <v>13</v>
      </c>
      <c r="B21" s="19"/>
      <c r="C21" s="19"/>
      <c r="D21" s="20"/>
      <c r="E21" s="21"/>
      <c r="F21" s="20"/>
      <c r="G21" s="21"/>
      <c r="H21" s="19"/>
      <c r="I21" s="19"/>
      <c r="J21" s="22">
        <f t="shared" si="0"/>
        <v>0</v>
      </c>
      <c r="K21" s="23"/>
      <c r="L21" s="21"/>
      <c r="M21" s="21"/>
      <c r="N21" s="21"/>
      <c r="O21" s="21"/>
      <c r="P21" s="21"/>
      <c r="Q21" s="21"/>
      <c r="R21" s="24"/>
      <c r="S21" s="25">
        <f t="shared" si="1"/>
        <v>0</v>
      </c>
      <c r="T21" s="25">
        <f>IF(Table6[[#This Row],[Likely to take extension options (Y/N)?]]="Y",Table6[[#This Row],[Option to extend how many periods?]]+Table6[[#This Row],[Number of payments]],Table6[[#This Row],[Number of payments]])</f>
        <v>0</v>
      </c>
      <c r="U21" s="56">
        <f t="shared" si="2"/>
        <v>0</v>
      </c>
      <c r="V21" s="56">
        <f t="shared" si="3"/>
        <v>0</v>
      </c>
      <c r="W21" s="25">
        <v>1</v>
      </c>
      <c r="X21" s="57">
        <f t="shared" si="4"/>
        <v>0</v>
      </c>
    </row>
    <row r="22" spans="1:24" x14ac:dyDescent="0.2">
      <c r="A22" s="28">
        <v>14</v>
      </c>
      <c r="B22" s="19"/>
      <c r="C22" s="19"/>
      <c r="D22" s="20"/>
      <c r="E22" s="21"/>
      <c r="F22" s="20"/>
      <c r="G22" s="21"/>
      <c r="H22" s="19"/>
      <c r="I22" s="19"/>
      <c r="J22" s="22">
        <f t="shared" si="0"/>
        <v>0</v>
      </c>
      <c r="K22" s="23"/>
      <c r="L22" s="21"/>
      <c r="M22" s="21"/>
      <c r="N22" s="21"/>
      <c r="O22" s="21"/>
      <c r="P22" s="21"/>
      <c r="Q22" s="21"/>
      <c r="R22" s="24"/>
      <c r="S22" s="25">
        <f t="shared" si="1"/>
        <v>0</v>
      </c>
      <c r="T22" s="25">
        <f>IF(Table6[[#This Row],[Likely to take extension options (Y/N)?]]="Y",Table6[[#This Row],[Option to extend how many periods?]]+Table6[[#This Row],[Number of payments]],Table6[[#This Row],[Number of payments]])</f>
        <v>0</v>
      </c>
      <c r="U22" s="56">
        <f t="shared" si="2"/>
        <v>0</v>
      </c>
      <c r="V22" s="56">
        <f t="shared" si="3"/>
        <v>0</v>
      </c>
      <c r="W22" s="25">
        <v>1</v>
      </c>
      <c r="X22" s="57">
        <f t="shared" si="4"/>
        <v>0</v>
      </c>
    </row>
    <row r="23" spans="1:24" x14ac:dyDescent="0.2">
      <c r="A23" s="28">
        <v>15</v>
      </c>
      <c r="B23" s="19"/>
      <c r="C23" s="19"/>
      <c r="D23" s="20"/>
      <c r="E23" s="21"/>
      <c r="F23" s="20"/>
      <c r="G23" s="21"/>
      <c r="H23" s="19"/>
      <c r="I23" s="19"/>
      <c r="J23" s="22">
        <f t="shared" si="0"/>
        <v>0</v>
      </c>
      <c r="K23" s="23"/>
      <c r="L23" s="21"/>
      <c r="M23" s="21"/>
      <c r="N23" s="21"/>
      <c r="O23" s="21"/>
      <c r="P23" s="21"/>
      <c r="Q23" s="21"/>
      <c r="R23" s="24"/>
      <c r="S23" s="25">
        <f t="shared" si="1"/>
        <v>0</v>
      </c>
      <c r="T23" s="25">
        <f>IF(Table6[[#This Row],[Likely to take extension options (Y/N)?]]="Y",Table6[[#This Row],[Option to extend how many periods?]]+Table6[[#This Row],[Number of payments]],Table6[[#This Row],[Number of payments]])</f>
        <v>0</v>
      </c>
      <c r="U23" s="56">
        <f t="shared" si="2"/>
        <v>0</v>
      </c>
      <c r="V23" s="56">
        <f t="shared" si="3"/>
        <v>0</v>
      </c>
      <c r="W23" s="25">
        <v>1</v>
      </c>
      <c r="X23" s="57">
        <f t="shared" si="4"/>
        <v>0</v>
      </c>
    </row>
    <row r="24" spans="1:24" x14ac:dyDescent="0.2">
      <c r="A24" s="28">
        <v>16</v>
      </c>
      <c r="B24" s="19"/>
      <c r="C24" s="19"/>
      <c r="D24" s="20"/>
      <c r="E24" s="21"/>
      <c r="F24" s="20"/>
      <c r="G24" s="21"/>
      <c r="H24" s="19"/>
      <c r="I24" s="19"/>
      <c r="J24" s="22">
        <f t="shared" si="0"/>
        <v>0</v>
      </c>
      <c r="K24" s="23"/>
      <c r="L24" s="21"/>
      <c r="M24" s="21"/>
      <c r="N24" s="21"/>
      <c r="O24" s="21"/>
      <c r="P24" s="21"/>
      <c r="Q24" s="21"/>
      <c r="R24" s="24"/>
      <c r="S24" s="25">
        <f t="shared" si="1"/>
        <v>0</v>
      </c>
      <c r="T24" s="25">
        <f>IF(Table6[[#This Row],[Likely to take extension options (Y/N)?]]="Y",Table6[[#This Row],[Option to extend how many periods?]]+Table6[[#This Row],[Number of payments]],Table6[[#This Row],[Number of payments]])</f>
        <v>0</v>
      </c>
      <c r="U24" s="56">
        <f t="shared" si="2"/>
        <v>0</v>
      </c>
      <c r="V24" s="56">
        <f t="shared" si="3"/>
        <v>0</v>
      </c>
      <c r="W24" s="25">
        <v>1</v>
      </c>
      <c r="X24" s="57">
        <f t="shared" si="4"/>
        <v>0</v>
      </c>
    </row>
    <row r="25" spans="1:24" x14ac:dyDescent="0.2">
      <c r="A25" s="28">
        <v>17</v>
      </c>
      <c r="B25" s="19"/>
      <c r="C25" s="19"/>
      <c r="D25" s="20"/>
      <c r="E25" s="21"/>
      <c r="F25" s="20"/>
      <c r="G25" s="21"/>
      <c r="H25" s="19"/>
      <c r="I25" s="19"/>
      <c r="J25" s="22">
        <f t="shared" si="0"/>
        <v>0</v>
      </c>
      <c r="K25" s="23"/>
      <c r="L25" s="21"/>
      <c r="M25" s="21"/>
      <c r="N25" s="21"/>
      <c r="O25" s="21"/>
      <c r="P25" s="21"/>
      <c r="Q25" s="21"/>
      <c r="R25" s="24"/>
      <c r="S25" s="25">
        <f t="shared" si="1"/>
        <v>0</v>
      </c>
      <c r="T25" s="25">
        <f>IF(Table6[[#This Row],[Likely to take extension options (Y/N)?]]="Y",Table6[[#This Row],[Option to extend how many periods?]]+Table6[[#This Row],[Number of payments]],Table6[[#This Row],[Number of payments]])</f>
        <v>0</v>
      </c>
      <c r="U25" s="56">
        <f t="shared" si="2"/>
        <v>0</v>
      </c>
      <c r="V25" s="56">
        <f t="shared" si="3"/>
        <v>0</v>
      </c>
      <c r="W25" s="25">
        <v>1</v>
      </c>
      <c r="X25" s="57">
        <f t="shared" si="4"/>
        <v>0</v>
      </c>
    </row>
    <row r="26" spans="1:24" x14ac:dyDescent="0.2">
      <c r="A26" s="28">
        <v>18</v>
      </c>
      <c r="B26" s="19"/>
      <c r="C26" s="19"/>
      <c r="D26" s="20"/>
      <c r="E26" s="21"/>
      <c r="F26" s="20"/>
      <c r="G26" s="21"/>
      <c r="H26" s="19"/>
      <c r="I26" s="19"/>
      <c r="J26" s="22">
        <f t="shared" si="0"/>
        <v>0</v>
      </c>
      <c r="K26" s="23"/>
      <c r="L26" s="21"/>
      <c r="M26" s="21"/>
      <c r="N26" s="21"/>
      <c r="O26" s="21"/>
      <c r="P26" s="21"/>
      <c r="Q26" s="21"/>
      <c r="R26" s="24"/>
      <c r="S26" s="25">
        <f t="shared" si="1"/>
        <v>0</v>
      </c>
      <c r="T26" s="25">
        <f>IF(Table6[[#This Row],[Likely to take extension options (Y/N)?]]="Y",Table6[[#This Row],[Option to extend how many periods?]]+Table6[[#This Row],[Number of payments]],Table6[[#This Row],[Number of payments]])</f>
        <v>0</v>
      </c>
      <c r="U26" s="56">
        <f t="shared" si="2"/>
        <v>0</v>
      </c>
      <c r="V26" s="56">
        <f t="shared" si="3"/>
        <v>0</v>
      </c>
      <c r="W26" s="25">
        <v>1</v>
      </c>
      <c r="X26" s="57">
        <f t="shared" si="4"/>
        <v>0</v>
      </c>
    </row>
    <row r="27" spans="1:24" x14ac:dyDescent="0.2">
      <c r="A27" s="28">
        <v>19</v>
      </c>
      <c r="B27" s="19"/>
      <c r="C27" s="19"/>
      <c r="D27" s="20"/>
      <c r="E27" s="21"/>
      <c r="F27" s="20"/>
      <c r="G27" s="21"/>
      <c r="H27" s="19"/>
      <c r="I27" s="19"/>
      <c r="J27" s="22">
        <f t="shared" si="0"/>
        <v>0</v>
      </c>
      <c r="K27" s="23"/>
      <c r="L27" s="21"/>
      <c r="M27" s="21"/>
      <c r="N27" s="21"/>
      <c r="O27" s="21"/>
      <c r="P27" s="21"/>
      <c r="Q27" s="21"/>
      <c r="R27" s="24"/>
      <c r="S27" s="25">
        <f t="shared" si="1"/>
        <v>0</v>
      </c>
      <c r="T27" s="25">
        <f>IF(Table6[[#This Row],[Likely to take extension options (Y/N)?]]="Y",Table6[[#This Row],[Option to extend how many periods?]]+Table6[[#This Row],[Number of payments]],Table6[[#This Row],[Number of payments]])</f>
        <v>0</v>
      </c>
      <c r="U27" s="56">
        <f t="shared" si="2"/>
        <v>0</v>
      </c>
      <c r="V27" s="56">
        <f t="shared" si="3"/>
        <v>0</v>
      </c>
      <c r="W27" s="25">
        <v>1</v>
      </c>
      <c r="X27" s="57">
        <f t="shared" si="4"/>
        <v>0</v>
      </c>
    </row>
    <row r="28" spans="1:24" x14ac:dyDescent="0.2">
      <c r="A28" s="28">
        <v>20</v>
      </c>
      <c r="B28" s="19"/>
      <c r="C28" s="19"/>
      <c r="D28" s="20"/>
      <c r="E28" s="21"/>
      <c r="F28" s="20"/>
      <c r="G28" s="21"/>
      <c r="H28" s="19"/>
      <c r="I28" s="19"/>
      <c r="J28" s="22">
        <f t="shared" si="0"/>
        <v>0</v>
      </c>
      <c r="K28" s="23"/>
      <c r="L28" s="21"/>
      <c r="M28" s="21"/>
      <c r="N28" s="21"/>
      <c r="O28" s="21"/>
      <c r="P28" s="21"/>
      <c r="Q28" s="21"/>
      <c r="R28" s="24"/>
      <c r="S28" s="25">
        <f t="shared" si="1"/>
        <v>0</v>
      </c>
      <c r="T28" s="25">
        <f>IF(Table6[[#This Row],[Likely to take extension options (Y/N)?]]="Y",Table6[[#This Row],[Option to extend how many periods?]]+Table6[[#This Row],[Number of payments]],Table6[[#This Row],[Number of payments]])</f>
        <v>0</v>
      </c>
      <c r="U28" s="56">
        <f t="shared" si="2"/>
        <v>0</v>
      </c>
      <c r="V28" s="56">
        <f t="shared" si="3"/>
        <v>0</v>
      </c>
      <c r="W28" s="25">
        <v>1</v>
      </c>
      <c r="X28" s="57">
        <f t="shared" si="4"/>
        <v>0</v>
      </c>
    </row>
    <row r="29" spans="1:24" x14ac:dyDescent="0.2">
      <c r="A29" s="28">
        <v>21</v>
      </c>
      <c r="B29" s="19"/>
      <c r="C29" s="19"/>
      <c r="D29" s="20"/>
      <c r="E29" s="21"/>
      <c r="F29" s="20"/>
      <c r="G29" s="21"/>
      <c r="H29" s="19"/>
      <c r="I29" s="19"/>
      <c r="J29" s="22">
        <f t="shared" si="0"/>
        <v>0</v>
      </c>
      <c r="K29" s="23"/>
      <c r="L29" s="21"/>
      <c r="M29" s="21"/>
      <c r="N29" s="21"/>
      <c r="O29" s="21"/>
      <c r="P29" s="21"/>
      <c r="Q29" s="21"/>
      <c r="R29" s="24"/>
      <c r="S29" s="25">
        <f t="shared" si="1"/>
        <v>0</v>
      </c>
      <c r="T29" s="25">
        <f>IF(Table6[[#This Row],[Likely to take extension options (Y/N)?]]="Y",Table6[[#This Row],[Option to extend how many periods?]]+Table6[[#This Row],[Number of payments]],Table6[[#This Row],[Number of payments]])</f>
        <v>0</v>
      </c>
      <c r="U29" s="56">
        <f t="shared" si="2"/>
        <v>0</v>
      </c>
      <c r="V29" s="56">
        <f t="shared" si="3"/>
        <v>0</v>
      </c>
      <c r="W29" s="25">
        <v>1</v>
      </c>
      <c r="X29" s="57">
        <f t="shared" si="4"/>
        <v>0</v>
      </c>
    </row>
    <row r="30" spans="1:24" x14ac:dyDescent="0.2">
      <c r="A30" s="28">
        <v>22</v>
      </c>
      <c r="B30" s="19"/>
      <c r="C30" s="19"/>
      <c r="D30" s="20"/>
      <c r="E30" s="21"/>
      <c r="F30" s="20"/>
      <c r="G30" s="21"/>
      <c r="H30" s="19"/>
      <c r="I30" s="19"/>
      <c r="J30" s="22">
        <f t="shared" si="0"/>
        <v>0</v>
      </c>
      <c r="K30" s="23"/>
      <c r="L30" s="21"/>
      <c r="M30" s="21"/>
      <c r="N30" s="21"/>
      <c r="O30" s="21"/>
      <c r="P30" s="21"/>
      <c r="Q30" s="21"/>
      <c r="R30" s="24"/>
      <c r="S30" s="25">
        <f t="shared" si="1"/>
        <v>0</v>
      </c>
      <c r="T30" s="25">
        <f>IF(Table6[[#This Row],[Likely to take extension options (Y/N)?]]="Y",Table6[[#This Row],[Option to extend how many periods?]]+Table6[[#This Row],[Number of payments]],Table6[[#This Row],[Number of payments]])</f>
        <v>0</v>
      </c>
      <c r="U30" s="56">
        <f t="shared" si="2"/>
        <v>0</v>
      </c>
      <c r="V30" s="56">
        <f t="shared" si="3"/>
        <v>0</v>
      </c>
      <c r="W30" s="25">
        <v>1</v>
      </c>
      <c r="X30" s="57">
        <f t="shared" si="4"/>
        <v>0</v>
      </c>
    </row>
    <row r="31" spans="1:24" x14ac:dyDescent="0.2">
      <c r="A31" s="28">
        <v>23</v>
      </c>
      <c r="B31" s="19"/>
      <c r="C31" s="19"/>
      <c r="D31" s="20"/>
      <c r="E31" s="21"/>
      <c r="F31" s="20"/>
      <c r="G31" s="21"/>
      <c r="H31" s="19"/>
      <c r="I31" s="19"/>
      <c r="J31" s="22">
        <f t="shared" si="0"/>
        <v>0</v>
      </c>
      <c r="K31" s="23"/>
      <c r="L31" s="21"/>
      <c r="M31" s="21"/>
      <c r="N31" s="21"/>
      <c r="O31" s="21"/>
      <c r="P31" s="21"/>
      <c r="Q31" s="21"/>
      <c r="R31" s="24"/>
      <c r="S31" s="25">
        <f t="shared" si="1"/>
        <v>0</v>
      </c>
      <c r="T31" s="25">
        <f>IF(Table6[[#This Row],[Likely to take extension options (Y/N)?]]="Y",Table6[[#This Row],[Option to extend how many periods?]]+Table6[[#This Row],[Number of payments]],Table6[[#This Row],[Number of payments]])</f>
        <v>0</v>
      </c>
      <c r="U31" s="56">
        <f t="shared" si="2"/>
        <v>0</v>
      </c>
      <c r="V31" s="56">
        <f t="shared" si="3"/>
        <v>0</v>
      </c>
      <c r="W31" s="25">
        <v>1</v>
      </c>
      <c r="X31" s="57">
        <f t="shared" si="4"/>
        <v>0</v>
      </c>
    </row>
    <row r="32" spans="1:24" x14ac:dyDescent="0.2">
      <c r="A32" s="28">
        <v>24</v>
      </c>
      <c r="B32" s="19"/>
      <c r="C32" s="19"/>
      <c r="D32" s="20"/>
      <c r="E32" s="21"/>
      <c r="F32" s="20"/>
      <c r="G32" s="21"/>
      <c r="H32" s="19"/>
      <c r="I32" s="19"/>
      <c r="J32" s="22">
        <f t="shared" si="0"/>
        <v>0</v>
      </c>
      <c r="K32" s="23"/>
      <c r="L32" s="21"/>
      <c r="M32" s="21"/>
      <c r="N32" s="21"/>
      <c r="O32" s="21"/>
      <c r="P32" s="21"/>
      <c r="Q32" s="21"/>
      <c r="R32" s="24"/>
      <c r="S32" s="25">
        <f t="shared" si="1"/>
        <v>0</v>
      </c>
      <c r="T32" s="25">
        <f>IF(Table6[[#This Row],[Likely to take extension options (Y/N)?]]="Y",Table6[[#This Row],[Option to extend how many periods?]]+Table6[[#This Row],[Number of payments]],Table6[[#This Row],[Number of payments]])</f>
        <v>0</v>
      </c>
      <c r="U32" s="56">
        <f t="shared" si="2"/>
        <v>0</v>
      </c>
      <c r="V32" s="56">
        <f t="shared" si="3"/>
        <v>0</v>
      </c>
      <c r="W32" s="25">
        <v>1</v>
      </c>
      <c r="X32" s="57">
        <f t="shared" si="4"/>
        <v>0</v>
      </c>
    </row>
    <row r="33" spans="1:24" x14ac:dyDescent="0.2">
      <c r="A33" s="28">
        <v>25</v>
      </c>
      <c r="B33" s="19"/>
      <c r="C33" s="19"/>
      <c r="D33" s="20"/>
      <c r="E33" s="21"/>
      <c r="F33" s="20"/>
      <c r="G33" s="21"/>
      <c r="H33" s="19"/>
      <c r="I33" s="19"/>
      <c r="J33" s="22">
        <f t="shared" si="0"/>
        <v>0</v>
      </c>
      <c r="K33" s="23"/>
      <c r="L33" s="21"/>
      <c r="M33" s="21"/>
      <c r="N33" s="21"/>
      <c r="O33" s="21"/>
      <c r="P33" s="21"/>
      <c r="Q33" s="21"/>
      <c r="R33" s="24"/>
      <c r="S33" s="25">
        <f t="shared" si="1"/>
        <v>0</v>
      </c>
      <c r="T33" s="25">
        <f>IF(Table6[[#This Row],[Likely to take extension options (Y/N)?]]="Y",Table6[[#This Row],[Option to extend how many periods?]]+Table6[[#This Row],[Number of payments]],Table6[[#This Row],[Number of payments]])</f>
        <v>0</v>
      </c>
      <c r="U33" s="56">
        <f t="shared" si="2"/>
        <v>0</v>
      </c>
      <c r="V33" s="56">
        <f t="shared" si="3"/>
        <v>0</v>
      </c>
      <c r="W33" s="25">
        <v>1</v>
      </c>
      <c r="X33" s="57">
        <f t="shared" si="4"/>
        <v>0</v>
      </c>
    </row>
    <row r="34" spans="1:24" x14ac:dyDescent="0.2">
      <c r="A34" s="28">
        <v>26</v>
      </c>
      <c r="B34" s="19"/>
      <c r="C34" s="19"/>
      <c r="D34" s="20"/>
      <c r="E34" s="21"/>
      <c r="F34" s="20"/>
      <c r="G34" s="21"/>
      <c r="H34" s="19"/>
      <c r="I34" s="19"/>
      <c r="J34" s="22">
        <f t="shared" si="0"/>
        <v>0</v>
      </c>
      <c r="K34" s="23"/>
      <c r="L34" s="21"/>
      <c r="M34" s="21"/>
      <c r="N34" s="21"/>
      <c r="O34" s="21"/>
      <c r="P34" s="21"/>
      <c r="Q34" s="21"/>
      <c r="R34" s="24"/>
      <c r="S34" s="25">
        <f t="shared" si="1"/>
        <v>0</v>
      </c>
      <c r="T34" s="25">
        <f>IF(Table6[[#This Row],[Likely to take extension options (Y/N)?]]="Y",Table6[[#This Row],[Option to extend how many periods?]]+Table6[[#This Row],[Number of payments]],Table6[[#This Row],[Number of payments]])</f>
        <v>0</v>
      </c>
      <c r="U34" s="56">
        <f t="shared" si="2"/>
        <v>0</v>
      </c>
      <c r="V34" s="56">
        <f t="shared" si="3"/>
        <v>0</v>
      </c>
      <c r="W34" s="25">
        <v>1</v>
      </c>
      <c r="X34" s="57">
        <f t="shared" si="4"/>
        <v>0</v>
      </c>
    </row>
    <row r="35" spans="1:24" x14ac:dyDescent="0.2">
      <c r="A35" s="28">
        <v>27</v>
      </c>
      <c r="B35" s="19"/>
      <c r="C35" s="19"/>
      <c r="D35" s="20"/>
      <c r="E35" s="21"/>
      <c r="F35" s="20"/>
      <c r="G35" s="21"/>
      <c r="H35" s="19"/>
      <c r="I35" s="19"/>
      <c r="J35" s="22">
        <f t="shared" si="0"/>
        <v>0</v>
      </c>
      <c r="K35" s="23"/>
      <c r="L35" s="21"/>
      <c r="M35" s="21"/>
      <c r="N35" s="21"/>
      <c r="O35" s="21"/>
      <c r="P35" s="21"/>
      <c r="Q35" s="21"/>
      <c r="R35" s="24"/>
      <c r="S35" s="25">
        <f t="shared" si="1"/>
        <v>0</v>
      </c>
      <c r="T35" s="25">
        <f>IF(Table6[[#This Row],[Likely to take extension options (Y/N)?]]="Y",Table6[[#This Row],[Option to extend how many periods?]]+Table6[[#This Row],[Number of payments]],Table6[[#This Row],[Number of payments]])</f>
        <v>0</v>
      </c>
      <c r="U35" s="56">
        <f t="shared" si="2"/>
        <v>0</v>
      </c>
      <c r="V35" s="56">
        <f t="shared" si="3"/>
        <v>0</v>
      </c>
      <c r="W35" s="25">
        <v>1</v>
      </c>
      <c r="X35" s="57">
        <f t="shared" si="4"/>
        <v>0</v>
      </c>
    </row>
    <row r="36" spans="1:24" x14ac:dyDescent="0.2">
      <c r="A36" s="28">
        <v>28</v>
      </c>
      <c r="B36" s="19"/>
      <c r="C36" s="19"/>
      <c r="D36" s="20"/>
      <c r="E36" s="21"/>
      <c r="F36" s="20"/>
      <c r="G36" s="21"/>
      <c r="H36" s="19"/>
      <c r="I36" s="19"/>
      <c r="J36" s="22">
        <f t="shared" si="0"/>
        <v>0</v>
      </c>
      <c r="K36" s="23"/>
      <c r="L36" s="21"/>
      <c r="M36" s="21"/>
      <c r="N36" s="21"/>
      <c r="O36" s="21"/>
      <c r="P36" s="21"/>
      <c r="Q36" s="21"/>
      <c r="R36" s="24"/>
      <c r="S36" s="25">
        <f t="shared" si="1"/>
        <v>0</v>
      </c>
      <c r="T36" s="25">
        <f>IF(Table6[[#This Row],[Likely to take extension options (Y/N)?]]="Y",Table6[[#This Row],[Option to extend how many periods?]]+Table6[[#This Row],[Number of payments]],Table6[[#This Row],[Number of payments]])</f>
        <v>0</v>
      </c>
      <c r="U36" s="56">
        <f t="shared" si="2"/>
        <v>0</v>
      </c>
      <c r="V36" s="56">
        <f t="shared" si="3"/>
        <v>0</v>
      </c>
      <c r="W36" s="25">
        <v>1</v>
      </c>
      <c r="X36" s="57">
        <f t="shared" si="4"/>
        <v>0</v>
      </c>
    </row>
    <row r="37" spans="1:24" x14ac:dyDescent="0.2">
      <c r="A37" s="28">
        <v>29</v>
      </c>
      <c r="B37" s="19"/>
      <c r="C37" s="19"/>
      <c r="D37" s="20"/>
      <c r="E37" s="21"/>
      <c r="F37" s="20"/>
      <c r="G37" s="21"/>
      <c r="H37" s="19"/>
      <c r="I37" s="19"/>
      <c r="J37" s="22">
        <f t="shared" si="0"/>
        <v>0</v>
      </c>
      <c r="K37" s="23"/>
      <c r="L37" s="21"/>
      <c r="M37" s="21"/>
      <c r="N37" s="21"/>
      <c r="O37" s="21"/>
      <c r="P37" s="21"/>
      <c r="Q37" s="21"/>
      <c r="R37" s="24"/>
      <c r="S37" s="25">
        <f t="shared" si="1"/>
        <v>0</v>
      </c>
      <c r="T37" s="25">
        <f>IF(Table6[[#This Row],[Likely to take extension options (Y/N)?]]="Y",Table6[[#This Row],[Option to extend how many periods?]]+Table6[[#This Row],[Number of payments]],Table6[[#This Row],[Number of payments]])</f>
        <v>0</v>
      </c>
      <c r="U37" s="56">
        <f t="shared" si="2"/>
        <v>0</v>
      </c>
      <c r="V37" s="56">
        <f t="shared" si="3"/>
        <v>0</v>
      </c>
      <c r="W37" s="25">
        <v>1</v>
      </c>
      <c r="X37" s="57">
        <f t="shared" si="4"/>
        <v>0</v>
      </c>
    </row>
    <row r="38" spans="1:24" x14ac:dyDescent="0.2">
      <c r="A38" s="28">
        <v>30</v>
      </c>
      <c r="B38" s="19"/>
      <c r="C38" s="19"/>
      <c r="D38" s="20"/>
      <c r="E38" s="21"/>
      <c r="F38" s="20"/>
      <c r="G38" s="21"/>
      <c r="H38" s="19"/>
      <c r="I38" s="19"/>
      <c r="J38" s="22">
        <f t="shared" si="0"/>
        <v>0</v>
      </c>
      <c r="K38" s="23"/>
      <c r="L38" s="21"/>
      <c r="M38" s="21"/>
      <c r="N38" s="21"/>
      <c r="O38" s="21"/>
      <c r="P38" s="21"/>
      <c r="Q38" s="21"/>
      <c r="R38" s="24"/>
      <c r="S38" s="25">
        <f t="shared" si="1"/>
        <v>0</v>
      </c>
      <c r="T38" s="25">
        <f>IF(Table6[[#This Row],[Likely to take extension options (Y/N)?]]="Y",Table6[[#This Row],[Option to extend how many periods?]]+Table6[[#This Row],[Number of payments]],Table6[[#This Row],[Number of payments]])</f>
        <v>0</v>
      </c>
      <c r="U38" s="56">
        <f t="shared" si="2"/>
        <v>0</v>
      </c>
      <c r="V38" s="56">
        <f t="shared" si="3"/>
        <v>0</v>
      </c>
      <c r="W38" s="25">
        <v>1</v>
      </c>
      <c r="X38" s="57">
        <f t="shared" si="4"/>
        <v>0</v>
      </c>
    </row>
    <row r="39" spans="1:24" x14ac:dyDescent="0.2">
      <c r="A39" s="28">
        <v>31</v>
      </c>
      <c r="B39" s="19"/>
      <c r="C39" s="19"/>
      <c r="D39" s="20"/>
      <c r="E39" s="21"/>
      <c r="F39" s="20"/>
      <c r="G39" s="21"/>
      <c r="H39" s="19"/>
      <c r="I39" s="19"/>
      <c r="J39" s="22">
        <f t="shared" si="0"/>
        <v>0</v>
      </c>
      <c r="K39" s="23"/>
      <c r="L39" s="21"/>
      <c r="M39" s="21"/>
      <c r="N39" s="21"/>
      <c r="O39" s="21"/>
      <c r="P39" s="21"/>
      <c r="Q39" s="21"/>
      <c r="R39" s="24"/>
      <c r="S39" s="25">
        <f t="shared" si="1"/>
        <v>0</v>
      </c>
      <c r="T39" s="25">
        <f>IF(Table6[[#This Row],[Likely to take extension options (Y/N)?]]="Y",Table6[[#This Row],[Option to extend how many periods?]]+Table6[[#This Row],[Number of payments]],Table6[[#This Row],[Number of payments]])</f>
        <v>0</v>
      </c>
      <c r="U39" s="56">
        <f t="shared" si="2"/>
        <v>0</v>
      </c>
      <c r="V39" s="56">
        <f t="shared" si="3"/>
        <v>0</v>
      </c>
      <c r="W39" s="25">
        <v>1</v>
      </c>
      <c r="X39" s="57">
        <f t="shared" si="4"/>
        <v>0</v>
      </c>
    </row>
    <row r="40" spans="1:24" x14ac:dyDescent="0.2">
      <c r="A40" s="28">
        <v>32</v>
      </c>
      <c r="B40" s="19"/>
      <c r="C40" s="19"/>
      <c r="D40" s="20"/>
      <c r="E40" s="21"/>
      <c r="F40" s="20"/>
      <c r="G40" s="21"/>
      <c r="H40" s="19"/>
      <c r="I40" s="19"/>
      <c r="J40" s="22">
        <f t="shared" si="0"/>
        <v>0</v>
      </c>
      <c r="K40" s="23"/>
      <c r="L40" s="21"/>
      <c r="M40" s="21"/>
      <c r="N40" s="21"/>
      <c r="O40" s="21"/>
      <c r="P40" s="21"/>
      <c r="Q40" s="21"/>
      <c r="R40" s="24"/>
      <c r="S40" s="25">
        <f t="shared" si="1"/>
        <v>0</v>
      </c>
      <c r="T40" s="25">
        <f>IF(Table6[[#This Row],[Likely to take extension options (Y/N)?]]="Y",Table6[[#This Row],[Option to extend how many periods?]]+Table6[[#This Row],[Number of payments]],Table6[[#This Row],[Number of payments]])</f>
        <v>0</v>
      </c>
      <c r="U40" s="56">
        <f t="shared" si="2"/>
        <v>0</v>
      </c>
      <c r="V40" s="56">
        <f t="shared" si="3"/>
        <v>0</v>
      </c>
      <c r="W40" s="25">
        <v>1</v>
      </c>
      <c r="X40" s="57">
        <f t="shared" si="4"/>
        <v>0</v>
      </c>
    </row>
    <row r="41" spans="1:24" x14ac:dyDescent="0.2">
      <c r="A41" s="28">
        <v>33</v>
      </c>
      <c r="B41" s="19"/>
      <c r="C41" s="19"/>
      <c r="D41" s="20"/>
      <c r="E41" s="21"/>
      <c r="F41" s="20"/>
      <c r="G41" s="21"/>
      <c r="H41" s="19"/>
      <c r="I41" s="19"/>
      <c r="J41" s="22">
        <f t="shared" si="0"/>
        <v>0</v>
      </c>
      <c r="K41" s="23"/>
      <c r="L41" s="21"/>
      <c r="M41" s="21"/>
      <c r="N41" s="21"/>
      <c r="O41" s="21"/>
      <c r="P41" s="21"/>
      <c r="Q41" s="21"/>
      <c r="R41" s="24"/>
      <c r="S41" s="25">
        <f t="shared" si="1"/>
        <v>0</v>
      </c>
      <c r="T41" s="25">
        <f>IF(Table6[[#This Row],[Likely to take extension options (Y/N)?]]="Y",Table6[[#This Row],[Option to extend how many periods?]]+Table6[[#This Row],[Number of payments]],Table6[[#This Row],[Number of payments]])</f>
        <v>0</v>
      </c>
      <c r="U41" s="56">
        <f t="shared" si="2"/>
        <v>0</v>
      </c>
      <c r="V41" s="56">
        <f t="shared" si="3"/>
        <v>0</v>
      </c>
      <c r="W41" s="25">
        <v>1</v>
      </c>
      <c r="X41" s="57">
        <f t="shared" si="4"/>
        <v>0</v>
      </c>
    </row>
    <row r="42" spans="1:24" x14ac:dyDescent="0.2">
      <c r="A42" s="28">
        <v>34</v>
      </c>
      <c r="B42" s="19"/>
      <c r="C42" s="19"/>
      <c r="D42" s="20"/>
      <c r="E42" s="21"/>
      <c r="F42" s="20"/>
      <c r="G42" s="21"/>
      <c r="H42" s="19"/>
      <c r="I42" s="19"/>
      <c r="J42" s="22">
        <f t="shared" si="0"/>
        <v>0</v>
      </c>
      <c r="K42" s="23"/>
      <c r="L42" s="21"/>
      <c r="M42" s="21"/>
      <c r="N42" s="21"/>
      <c r="O42" s="21"/>
      <c r="P42" s="21"/>
      <c r="Q42" s="21"/>
      <c r="R42" s="24"/>
      <c r="S42" s="25">
        <f t="shared" si="1"/>
        <v>0</v>
      </c>
      <c r="T42" s="25">
        <f>IF(Table6[[#This Row],[Likely to take extension options (Y/N)?]]="Y",Table6[[#This Row],[Option to extend how many periods?]]+Table6[[#This Row],[Number of payments]],Table6[[#This Row],[Number of payments]])</f>
        <v>0</v>
      </c>
      <c r="U42" s="56">
        <f t="shared" si="2"/>
        <v>0</v>
      </c>
      <c r="V42" s="56">
        <f t="shared" si="3"/>
        <v>0</v>
      </c>
      <c r="W42" s="25">
        <v>1</v>
      </c>
      <c r="X42" s="57">
        <f t="shared" si="4"/>
        <v>0</v>
      </c>
    </row>
    <row r="43" spans="1:24" x14ac:dyDescent="0.2">
      <c r="A43" s="28">
        <v>35</v>
      </c>
      <c r="B43" s="19"/>
      <c r="C43" s="19"/>
      <c r="D43" s="20"/>
      <c r="E43" s="21"/>
      <c r="F43" s="20"/>
      <c r="G43" s="21"/>
      <c r="H43" s="19"/>
      <c r="I43" s="19"/>
      <c r="J43" s="22">
        <f t="shared" si="0"/>
        <v>0</v>
      </c>
      <c r="K43" s="23"/>
      <c r="L43" s="21"/>
      <c r="M43" s="21"/>
      <c r="N43" s="21"/>
      <c r="O43" s="21"/>
      <c r="P43" s="21"/>
      <c r="Q43" s="21"/>
      <c r="R43" s="24"/>
      <c r="S43" s="25">
        <f t="shared" si="1"/>
        <v>0</v>
      </c>
      <c r="T43" s="25">
        <f>IF(Table6[[#This Row],[Likely to take extension options (Y/N)?]]="Y",Table6[[#This Row],[Option to extend how many periods?]]+Table6[[#This Row],[Number of payments]],Table6[[#This Row],[Number of payments]])</f>
        <v>0</v>
      </c>
      <c r="U43" s="56">
        <f t="shared" si="2"/>
        <v>0</v>
      </c>
      <c r="V43" s="56">
        <f t="shared" si="3"/>
        <v>0</v>
      </c>
      <c r="W43" s="25">
        <v>1</v>
      </c>
      <c r="X43" s="57">
        <f t="shared" si="4"/>
        <v>0</v>
      </c>
    </row>
    <row r="44" spans="1:24" x14ac:dyDescent="0.2">
      <c r="A44" s="28">
        <v>36</v>
      </c>
      <c r="B44" s="19"/>
      <c r="C44" s="19"/>
      <c r="D44" s="20"/>
      <c r="E44" s="21"/>
      <c r="F44" s="20"/>
      <c r="G44" s="21"/>
      <c r="H44" s="19"/>
      <c r="I44" s="19"/>
      <c r="J44" s="22">
        <f t="shared" si="0"/>
        <v>0</v>
      </c>
      <c r="K44" s="23"/>
      <c r="L44" s="21"/>
      <c r="M44" s="21"/>
      <c r="N44" s="21"/>
      <c r="O44" s="21"/>
      <c r="P44" s="21"/>
      <c r="Q44" s="21"/>
      <c r="R44" s="24"/>
      <c r="S44" s="25">
        <f t="shared" si="1"/>
        <v>0</v>
      </c>
      <c r="T44" s="25">
        <f>IF(Table6[[#This Row],[Likely to take extension options (Y/N)?]]="Y",Table6[[#This Row],[Option to extend how many periods?]]+Table6[[#This Row],[Number of payments]],Table6[[#This Row],[Number of payments]])</f>
        <v>0</v>
      </c>
      <c r="U44" s="56">
        <f t="shared" si="2"/>
        <v>0</v>
      </c>
      <c r="V44" s="56">
        <f t="shared" si="3"/>
        <v>0</v>
      </c>
      <c r="W44" s="25">
        <v>1</v>
      </c>
      <c r="X44" s="57">
        <f t="shared" si="4"/>
        <v>0</v>
      </c>
    </row>
    <row r="45" spans="1:24" x14ac:dyDescent="0.2">
      <c r="A45" s="28">
        <v>37</v>
      </c>
      <c r="B45" s="19"/>
      <c r="C45" s="19"/>
      <c r="D45" s="20"/>
      <c r="E45" s="21"/>
      <c r="F45" s="20"/>
      <c r="G45" s="21"/>
      <c r="H45" s="19"/>
      <c r="I45" s="19"/>
      <c r="J45" s="22">
        <f t="shared" si="0"/>
        <v>0</v>
      </c>
      <c r="K45" s="23"/>
      <c r="L45" s="21"/>
      <c r="M45" s="21"/>
      <c r="N45" s="21"/>
      <c r="O45" s="21"/>
      <c r="P45" s="21"/>
      <c r="Q45" s="21"/>
      <c r="R45" s="24"/>
      <c r="S45" s="25">
        <f t="shared" si="1"/>
        <v>0</v>
      </c>
      <c r="T45" s="25">
        <f>IF(Table6[[#This Row],[Likely to take extension options (Y/N)?]]="Y",Table6[[#This Row],[Option to extend how many periods?]]+Table6[[#This Row],[Number of payments]],Table6[[#This Row],[Number of payments]])</f>
        <v>0</v>
      </c>
      <c r="U45" s="56">
        <f t="shared" si="2"/>
        <v>0</v>
      </c>
      <c r="V45" s="56">
        <f t="shared" si="3"/>
        <v>0</v>
      </c>
      <c r="W45" s="25">
        <v>1</v>
      </c>
      <c r="X45" s="57">
        <f t="shared" si="4"/>
        <v>0</v>
      </c>
    </row>
    <row r="46" spans="1:24" x14ac:dyDescent="0.2">
      <c r="A46" s="28">
        <v>38</v>
      </c>
      <c r="B46" s="19"/>
      <c r="C46" s="19"/>
      <c r="D46" s="20"/>
      <c r="E46" s="21"/>
      <c r="F46" s="20"/>
      <c r="G46" s="21"/>
      <c r="H46" s="19"/>
      <c r="I46" s="19"/>
      <c r="J46" s="22">
        <f t="shared" si="0"/>
        <v>0</v>
      </c>
      <c r="K46" s="23"/>
      <c r="L46" s="21"/>
      <c r="M46" s="21"/>
      <c r="N46" s="21"/>
      <c r="O46" s="21"/>
      <c r="P46" s="21"/>
      <c r="Q46" s="21"/>
      <c r="R46" s="24"/>
      <c r="S46" s="25">
        <f t="shared" si="1"/>
        <v>0</v>
      </c>
      <c r="T46" s="25">
        <f>IF(Table6[[#This Row],[Likely to take extension options (Y/N)?]]="Y",Table6[[#This Row],[Option to extend how many periods?]]+Table6[[#This Row],[Number of payments]],Table6[[#This Row],[Number of payments]])</f>
        <v>0</v>
      </c>
      <c r="U46" s="56">
        <f t="shared" si="2"/>
        <v>0</v>
      </c>
      <c r="V46" s="56">
        <f t="shared" si="3"/>
        <v>0</v>
      </c>
      <c r="W46" s="25">
        <v>1</v>
      </c>
      <c r="X46" s="57">
        <f t="shared" si="4"/>
        <v>0</v>
      </c>
    </row>
    <row r="47" spans="1:24" x14ac:dyDescent="0.2">
      <c r="A47" s="28">
        <v>39</v>
      </c>
      <c r="B47" s="19"/>
      <c r="C47" s="19"/>
      <c r="D47" s="20"/>
      <c r="E47" s="21"/>
      <c r="F47" s="20"/>
      <c r="G47" s="21"/>
      <c r="H47" s="19"/>
      <c r="I47" s="19"/>
      <c r="J47" s="22">
        <f t="shared" si="0"/>
        <v>0</v>
      </c>
      <c r="K47" s="23"/>
      <c r="L47" s="21"/>
      <c r="M47" s="21"/>
      <c r="N47" s="21"/>
      <c r="O47" s="21"/>
      <c r="P47" s="21"/>
      <c r="Q47" s="21"/>
      <c r="R47" s="24"/>
      <c r="S47" s="25">
        <f t="shared" si="1"/>
        <v>0</v>
      </c>
      <c r="T47" s="25">
        <f>IF(Table6[[#This Row],[Likely to take extension options (Y/N)?]]="Y",Table6[[#This Row],[Option to extend how many periods?]]+Table6[[#This Row],[Number of payments]],Table6[[#This Row],[Number of payments]])</f>
        <v>0</v>
      </c>
      <c r="U47" s="56">
        <f t="shared" si="2"/>
        <v>0</v>
      </c>
      <c r="V47" s="56">
        <f t="shared" si="3"/>
        <v>0</v>
      </c>
      <c r="W47" s="25">
        <v>1</v>
      </c>
      <c r="X47" s="57">
        <f t="shared" si="4"/>
        <v>0</v>
      </c>
    </row>
    <row r="48" spans="1:24" x14ac:dyDescent="0.2">
      <c r="A48" s="28">
        <v>40</v>
      </c>
      <c r="B48" s="19"/>
      <c r="C48" s="19"/>
      <c r="D48" s="20"/>
      <c r="E48" s="21"/>
      <c r="F48" s="20"/>
      <c r="G48" s="21"/>
      <c r="H48" s="19"/>
      <c r="I48" s="19"/>
      <c r="J48" s="22">
        <f t="shared" si="0"/>
        <v>0</v>
      </c>
      <c r="K48" s="23"/>
      <c r="L48" s="21"/>
      <c r="M48" s="21"/>
      <c r="N48" s="21"/>
      <c r="O48" s="21"/>
      <c r="P48" s="21"/>
      <c r="Q48" s="21"/>
      <c r="R48" s="24"/>
      <c r="S48" s="25">
        <f t="shared" si="1"/>
        <v>0</v>
      </c>
      <c r="T48" s="25">
        <f>IF(Table6[[#This Row],[Likely to take extension options (Y/N)?]]="Y",Table6[[#This Row],[Option to extend how many periods?]]+Table6[[#This Row],[Number of payments]],Table6[[#This Row],[Number of payments]])</f>
        <v>0</v>
      </c>
      <c r="U48" s="56">
        <f t="shared" si="2"/>
        <v>0</v>
      </c>
      <c r="V48" s="56">
        <f t="shared" si="3"/>
        <v>0</v>
      </c>
      <c r="W48" s="25">
        <v>1</v>
      </c>
      <c r="X48" s="57">
        <f t="shared" si="4"/>
        <v>0</v>
      </c>
    </row>
    <row r="49" spans="1:24" x14ac:dyDescent="0.2">
      <c r="A49" s="28">
        <v>41</v>
      </c>
      <c r="B49" s="19"/>
      <c r="C49" s="19"/>
      <c r="D49" s="20"/>
      <c r="E49" s="21"/>
      <c r="F49" s="20"/>
      <c r="G49" s="21"/>
      <c r="H49" s="19"/>
      <c r="I49" s="19"/>
      <c r="J49" s="22">
        <f t="shared" si="0"/>
        <v>0</v>
      </c>
      <c r="K49" s="23"/>
      <c r="L49" s="21"/>
      <c r="M49" s="21"/>
      <c r="N49" s="21"/>
      <c r="O49" s="21"/>
      <c r="P49" s="21"/>
      <c r="Q49" s="21"/>
      <c r="R49" s="24"/>
      <c r="S49" s="25">
        <f t="shared" si="1"/>
        <v>0</v>
      </c>
      <c r="T49" s="25">
        <f>IF(Table6[[#This Row],[Likely to take extension options (Y/N)?]]="Y",Table6[[#This Row],[Option to extend how many periods?]]+Table6[[#This Row],[Number of payments]],Table6[[#This Row],[Number of payments]])</f>
        <v>0</v>
      </c>
      <c r="U49" s="56">
        <f t="shared" si="2"/>
        <v>0</v>
      </c>
      <c r="V49" s="56">
        <f t="shared" si="3"/>
        <v>0</v>
      </c>
      <c r="W49" s="25">
        <v>1</v>
      </c>
      <c r="X49" s="57">
        <f t="shared" si="4"/>
        <v>0</v>
      </c>
    </row>
    <row r="50" spans="1:24" x14ac:dyDescent="0.2">
      <c r="A50" s="28">
        <v>42</v>
      </c>
      <c r="B50" s="19"/>
      <c r="C50" s="19"/>
      <c r="D50" s="20"/>
      <c r="E50" s="21"/>
      <c r="F50" s="20"/>
      <c r="G50" s="21"/>
      <c r="H50" s="19"/>
      <c r="I50" s="19"/>
      <c r="J50" s="22">
        <f t="shared" si="0"/>
        <v>0</v>
      </c>
      <c r="K50" s="23"/>
      <c r="L50" s="21"/>
      <c r="M50" s="21"/>
      <c r="N50" s="21"/>
      <c r="O50" s="21"/>
      <c r="P50" s="21"/>
      <c r="Q50" s="21"/>
      <c r="R50" s="24"/>
      <c r="S50" s="25">
        <f t="shared" si="1"/>
        <v>0</v>
      </c>
      <c r="T50" s="25">
        <f>IF(Table6[[#This Row],[Likely to take extension options (Y/N)?]]="Y",Table6[[#This Row],[Option to extend how many periods?]]+Table6[[#This Row],[Number of payments]],Table6[[#This Row],[Number of payments]])</f>
        <v>0</v>
      </c>
      <c r="U50" s="56">
        <f t="shared" si="2"/>
        <v>0</v>
      </c>
      <c r="V50" s="56">
        <f t="shared" si="3"/>
        <v>0</v>
      </c>
      <c r="W50" s="25">
        <v>1</v>
      </c>
      <c r="X50" s="57">
        <f t="shared" si="4"/>
        <v>0</v>
      </c>
    </row>
    <row r="51" spans="1:24" x14ac:dyDescent="0.2">
      <c r="A51" s="28">
        <v>43</v>
      </c>
      <c r="B51" s="19"/>
      <c r="C51" s="19"/>
      <c r="D51" s="20"/>
      <c r="E51" s="21"/>
      <c r="F51" s="20"/>
      <c r="G51" s="21"/>
      <c r="H51" s="19"/>
      <c r="I51" s="19"/>
      <c r="J51" s="22">
        <f t="shared" si="0"/>
        <v>0</v>
      </c>
      <c r="K51" s="23"/>
      <c r="L51" s="21"/>
      <c r="M51" s="21"/>
      <c r="N51" s="21"/>
      <c r="O51" s="21"/>
      <c r="P51" s="21"/>
      <c r="Q51" s="21"/>
      <c r="R51" s="24"/>
      <c r="S51" s="25">
        <f t="shared" si="1"/>
        <v>0</v>
      </c>
      <c r="T51" s="25">
        <f>IF(Table6[[#This Row],[Likely to take extension options (Y/N)?]]="Y",Table6[[#This Row],[Option to extend how many periods?]]+Table6[[#This Row],[Number of payments]],Table6[[#This Row],[Number of payments]])</f>
        <v>0</v>
      </c>
      <c r="U51" s="56">
        <f t="shared" si="2"/>
        <v>0</v>
      </c>
      <c r="V51" s="56">
        <f t="shared" si="3"/>
        <v>0</v>
      </c>
      <c r="W51" s="25">
        <v>1</v>
      </c>
      <c r="X51" s="57">
        <f t="shared" si="4"/>
        <v>0</v>
      </c>
    </row>
    <row r="52" spans="1:24" x14ac:dyDescent="0.2">
      <c r="A52" s="28">
        <v>44</v>
      </c>
      <c r="B52" s="19"/>
      <c r="C52" s="19"/>
      <c r="D52" s="20"/>
      <c r="E52" s="21"/>
      <c r="F52" s="20"/>
      <c r="G52" s="21"/>
      <c r="H52" s="19"/>
      <c r="I52" s="19"/>
      <c r="J52" s="22">
        <f t="shared" si="0"/>
        <v>0</v>
      </c>
      <c r="K52" s="23"/>
      <c r="L52" s="21"/>
      <c r="M52" s="21"/>
      <c r="N52" s="21"/>
      <c r="O52" s="21"/>
      <c r="P52" s="21"/>
      <c r="Q52" s="21"/>
      <c r="R52" s="24"/>
      <c r="S52" s="25">
        <f t="shared" si="1"/>
        <v>0</v>
      </c>
      <c r="T52" s="25">
        <f>IF(Table6[[#This Row],[Likely to take extension options (Y/N)?]]="Y",Table6[[#This Row],[Option to extend how many periods?]]+Table6[[#This Row],[Number of payments]],Table6[[#This Row],[Number of payments]])</f>
        <v>0</v>
      </c>
      <c r="U52" s="56">
        <f t="shared" si="2"/>
        <v>0</v>
      </c>
      <c r="V52" s="56">
        <f t="shared" si="3"/>
        <v>0</v>
      </c>
      <c r="W52" s="25">
        <v>1</v>
      </c>
      <c r="X52" s="57">
        <f t="shared" si="4"/>
        <v>0</v>
      </c>
    </row>
    <row r="53" spans="1:24" x14ac:dyDescent="0.2">
      <c r="A53" s="28">
        <v>45</v>
      </c>
      <c r="B53" s="19"/>
      <c r="C53" s="19"/>
      <c r="D53" s="20"/>
      <c r="E53" s="21"/>
      <c r="F53" s="20"/>
      <c r="G53" s="21"/>
      <c r="H53" s="19"/>
      <c r="I53" s="19"/>
      <c r="J53" s="22">
        <f t="shared" si="0"/>
        <v>0</v>
      </c>
      <c r="K53" s="23"/>
      <c r="L53" s="21"/>
      <c r="M53" s="21"/>
      <c r="N53" s="21"/>
      <c r="O53" s="21"/>
      <c r="P53" s="21"/>
      <c r="Q53" s="21"/>
      <c r="R53" s="24"/>
      <c r="S53" s="25">
        <f t="shared" si="1"/>
        <v>0</v>
      </c>
      <c r="T53" s="25">
        <f>IF(Table6[[#This Row],[Likely to take extension options (Y/N)?]]="Y",Table6[[#This Row],[Option to extend how many periods?]]+Table6[[#This Row],[Number of payments]],Table6[[#This Row],[Number of payments]])</f>
        <v>0</v>
      </c>
      <c r="U53" s="56">
        <f t="shared" si="2"/>
        <v>0</v>
      </c>
      <c r="V53" s="56">
        <f t="shared" si="3"/>
        <v>0</v>
      </c>
      <c r="W53" s="25">
        <v>1</v>
      </c>
      <c r="X53" s="57">
        <f t="shared" si="4"/>
        <v>0</v>
      </c>
    </row>
    <row r="54" spans="1:24" x14ac:dyDescent="0.2">
      <c r="A54" s="28">
        <v>46</v>
      </c>
      <c r="B54" s="19"/>
      <c r="C54" s="19"/>
      <c r="D54" s="20"/>
      <c r="E54" s="21"/>
      <c r="F54" s="20"/>
      <c r="G54" s="21"/>
      <c r="H54" s="19"/>
      <c r="I54" s="19"/>
      <c r="J54" s="22">
        <f t="shared" si="0"/>
        <v>0</v>
      </c>
      <c r="K54" s="23"/>
      <c r="L54" s="21"/>
      <c r="M54" s="21"/>
      <c r="N54" s="21"/>
      <c r="O54" s="21"/>
      <c r="P54" s="21"/>
      <c r="Q54" s="21"/>
      <c r="R54" s="24"/>
      <c r="S54" s="25">
        <f t="shared" si="1"/>
        <v>0</v>
      </c>
      <c r="T54" s="25">
        <f>IF(Table6[[#This Row],[Likely to take extension options (Y/N)?]]="Y",Table6[[#This Row],[Option to extend how many periods?]]+Table6[[#This Row],[Number of payments]],Table6[[#This Row],[Number of payments]])</f>
        <v>0</v>
      </c>
      <c r="U54" s="56">
        <f t="shared" si="2"/>
        <v>0</v>
      </c>
      <c r="V54" s="56">
        <f t="shared" si="3"/>
        <v>0</v>
      </c>
      <c r="W54" s="25">
        <v>1</v>
      </c>
      <c r="X54" s="57">
        <f t="shared" si="4"/>
        <v>0</v>
      </c>
    </row>
    <row r="55" spans="1:24" x14ac:dyDescent="0.2">
      <c r="A55" s="28">
        <v>47</v>
      </c>
      <c r="B55" s="19"/>
      <c r="C55" s="19"/>
      <c r="D55" s="20"/>
      <c r="E55" s="21"/>
      <c r="F55" s="20"/>
      <c r="G55" s="21"/>
      <c r="H55" s="19"/>
      <c r="I55" s="19"/>
      <c r="J55" s="22">
        <f t="shared" si="0"/>
        <v>0</v>
      </c>
      <c r="K55" s="23"/>
      <c r="L55" s="21"/>
      <c r="M55" s="21"/>
      <c r="N55" s="21"/>
      <c r="O55" s="21"/>
      <c r="P55" s="21"/>
      <c r="Q55" s="21"/>
      <c r="R55" s="24"/>
      <c r="S55" s="25">
        <f t="shared" si="1"/>
        <v>0</v>
      </c>
      <c r="T55" s="25">
        <f>IF(Table6[[#This Row],[Likely to take extension options (Y/N)?]]="Y",Table6[[#This Row],[Option to extend how many periods?]]+Table6[[#This Row],[Number of payments]],Table6[[#This Row],[Number of payments]])</f>
        <v>0</v>
      </c>
      <c r="U55" s="56">
        <f t="shared" si="2"/>
        <v>0</v>
      </c>
      <c r="V55" s="56">
        <f t="shared" si="3"/>
        <v>0</v>
      </c>
      <c r="W55" s="25">
        <v>1</v>
      </c>
      <c r="X55" s="57">
        <f t="shared" si="4"/>
        <v>0</v>
      </c>
    </row>
    <row r="56" spans="1:24" x14ac:dyDescent="0.2">
      <c r="A56" s="28">
        <v>48</v>
      </c>
      <c r="B56" s="19"/>
      <c r="C56" s="19"/>
      <c r="D56" s="20"/>
      <c r="E56" s="21"/>
      <c r="F56" s="20"/>
      <c r="G56" s="21"/>
      <c r="H56" s="19"/>
      <c r="I56" s="19"/>
      <c r="J56" s="22">
        <f t="shared" si="0"/>
        <v>0</v>
      </c>
      <c r="K56" s="23"/>
      <c r="L56" s="21"/>
      <c r="M56" s="21"/>
      <c r="N56" s="21"/>
      <c r="O56" s="21"/>
      <c r="P56" s="21"/>
      <c r="Q56" s="21"/>
      <c r="R56" s="24"/>
      <c r="S56" s="25">
        <f t="shared" si="1"/>
        <v>0</v>
      </c>
      <c r="T56" s="25">
        <f>IF(Table6[[#This Row],[Likely to take extension options (Y/N)?]]="Y",Table6[[#This Row],[Option to extend how many periods?]]+Table6[[#This Row],[Number of payments]],Table6[[#This Row],[Number of payments]])</f>
        <v>0</v>
      </c>
      <c r="U56" s="56">
        <f t="shared" si="2"/>
        <v>0</v>
      </c>
      <c r="V56" s="56">
        <f t="shared" si="3"/>
        <v>0</v>
      </c>
      <c r="W56" s="25">
        <v>1</v>
      </c>
      <c r="X56" s="57">
        <f t="shared" si="4"/>
        <v>0</v>
      </c>
    </row>
    <row r="57" spans="1:24" x14ac:dyDescent="0.2">
      <c r="A57" s="28">
        <v>49</v>
      </c>
      <c r="B57" s="19"/>
      <c r="C57" s="19"/>
      <c r="D57" s="20"/>
      <c r="E57" s="21"/>
      <c r="F57" s="20"/>
      <c r="G57" s="21"/>
      <c r="H57" s="19"/>
      <c r="I57" s="19"/>
      <c r="J57" s="22">
        <f t="shared" si="0"/>
        <v>0</v>
      </c>
      <c r="K57" s="23"/>
      <c r="L57" s="21"/>
      <c r="M57" s="21"/>
      <c r="N57" s="21"/>
      <c r="O57" s="21"/>
      <c r="P57" s="21"/>
      <c r="Q57" s="21"/>
      <c r="R57" s="24"/>
      <c r="S57" s="25">
        <f t="shared" si="1"/>
        <v>0</v>
      </c>
      <c r="T57" s="25">
        <f>IF(Table6[[#This Row],[Likely to take extension options (Y/N)?]]="Y",Table6[[#This Row],[Option to extend how many periods?]]+Table6[[#This Row],[Number of payments]],Table6[[#This Row],[Number of payments]])</f>
        <v>0</v>
      </c>
      <c r="U57" s="56">
        <f t="shared" si="2"/>
        <v>0</v>
      </c>
      <c r="V57" s="56">
        <f t="shared" si="3"/>
        <v>0</v>
      </c>
      <c r="W57" s="25">
        <v>1</v>
      </c>
      <c r="X57" s="57">
        <f t="shared" si="4"/>
        <v>0</v>
      </c>
    </row>
    <row r="58" spans="1:24" x14ac:dyDescent="0.2">
      <c r="A58" s="28">
        <v>50</v>
      </c>
      <c r="B58" s="19"/>
      <c r="C58" s="19"/>
      <c r="D58" s="20"/>
      <c r="E58" s="21"/>
      <c r="F58" s="20"/>
      <c r="G58" s="21"/>
      <c r="H58" s="19"/>
      <c r="I58" s="19"/>
      <c r="J58" s="22">
        <f t="shared" si="0"/>
        <v>0</v>
      </c>
      <c r="K58" s="23"/>
      <c r="L58" s="21"/>
      <c r="M58" s="21"/>
      <c r="N58" s="21"/>
      <c r="O58" s="21"/>
      <c r="P58" s="21"/>
      <c r="Q58" s="21"/>
      <c r="R58" s="24"/>
      <c r="S58" s="25">
        <f t="shared" si="1"/>
        <v>0</v>
      </c>
      <c r="T58" s="25">
        <f>IF(Table6[[#This Row],[Likely to take extension options (Y/N)?]]="Y",Table6[[#This Row],[Option to extend how many periods?]]+Table6[[#This Row],[Number of payments]],Table6[[#This Row],[Number of payments]])</f>
        <v>0</v>
      </c>
      <c r="U58" s="56">
        <f t="shared" si="2"/>
        <v>0</v>
      </c>
      <c r="V58" s="56">
        <f t="shared" si="3"/>
        <v>0</v>
      </c>
      <c r="W58" s="25">
        <v>1</v>
      </c>
      <c r="X58" s="57">
        <f t="shared" si="4"/>
        <v>0</v>
      </c>
    </row>
    <row r="59" spans="1:24" x14ac:dyDescent="0.2">
      <c r="A59" s="28">
        <v>51</v>
      </c>
      <c r="B59" s="19"/>
      <c r="C59" s="19"/>
      <c r="D59" s="20"/>
      <c r="E59" s="21"/>
      <c r="F59" s="20"/>
      <c r="G59" s="21"/>
      <c r="H59" s="19"/>
      <c r="I59" s="19"/>
      <c r="J59" s="22">
        <f t="shared" si="0"/>
        <v>0</v>
      </c>
      <c r="K59" s="23"/>
      <c r="L59" s="21"/>
      <c r="M59" s="21"/>
      <c r="N59" s="21"/>
      <c r="O59" s="21"/>
      <c r="P59" s="21"/>
      <c r="Q59" s="21"/>
      <c r="R59" s="24"/>
      <c r="S59" s="25">
        <f t="shared" si="1"/>
        <v>0</v>
      </c>
      <c r="T59" s="25">
        <f>IF(Table6[[#This Row],[Likely to take extension options (Y/N)?]]="Y",Table6[[#This Row],[Option to extend how many periods?]]+Table6[[#This Row],[Number of payments]],Table6[[#This Row],[Number of payments]])</f>
        <v>0</v>
      </c>
      <c r="U59" s="56">
        <f t="shared" si="2"/>
        <v>0</v>
      </c>
      <c r="V59" s="56">
        <f t="shared" si="3"/>
        <v>0</v>
      </c>
      <c r="W59" s="25">
        <v>1</v>
      </c>
      <c r="X59" s="57">
        <f t="shared" si="4"/>
        <v>0</v>
      </c>
    </row>
    <row r="60" spans="1:24" x14ac:dyDescent="0.2">
      <c r="A60" s="28">
        <v>52</v>
      </c>
      <c r="B60" s="19"/>
      <c r="C60" s="19"/>
      <c r="D60" s="20"/>
      <c r="E60" s="21"/>
      <c r="F60" s="20"/>
      <c r="G60" s="21"/>
      <c r="H60" s="19"/>
      <c r="I60" s="19"/>
      <c r="J60" s="22">
        <f t="shared" si="0"/>
        <v>0</v>
      </c>
      <c r="K60" s="23"/>
      <c r="L60" s="21"/>
      <c r="M60" s="21"/>
      <c r="N60" s="21"/>
      <c r="O60" s="21"/>
      <c r="P60" s="21"/>
      <c r="Q60" s="21"/>
      <c r="R60" s="24"/>
      <c r="S60" s="25">
        <f t="shared" si="1"/>
        <v>0</v>
      </c>
      <c r="T60" s="25">
        <f>IF(Table6[[#This Row],[Likely to take extension options (Y/N)?]]="Y",Table6[[#This Row],[Option to extend how many periods?]]+Table6[[#This Row],[Number of payments]],Table6[[#This Row],[Number of payments]])</f>
        <v>0</v>
      </c>
      <c r="U60" s="56">
        <f t="shared" si="2"/>
        <v>0</v>
      </c>
      <c r="V60" s="56">
        <f t="shared" si="3"/>
        <v>0</v>
      </c>
      <c r="W60" s="25">
        <v>1</v>
      </c>
      <c r="X60" s="57">
        <f t="shared" si="4"/>
        <v>0</v>
      </c>
    </row>
    <row r="61" spans="1:24" x14ac:dyDescent="0.2">
      <c r="A61" s="28">
        <v>53</v>
      </c>
      <c r="B61" s="19"/>
      <c r="C61" s="19"/>
      <c r="D61" s="20"/>
      <c r="E61" s="21"/>
      <c r="F61" s="20"/>
      <c r="G61" s="21"/>
      <c r="H61" s="19"/>
      <c r="I61" s="19"/>
      <c r="J61" s="22">
        <f t="shared" si="0"/>
        <v>0</v>
      </c>
      <c r="K61" s="23"/>
      <c r="L61" s="21"/>
      <c r="M61" s="21"/>
      <c r="N61" s="21"/>
      <c r="O61" s="21"/>
      <c r="P61" s="21"/>
      <c r="Q61" s="21"/>
      <c r="R61" s="24"/>
      <c r="S61" s="25">
        <f t="shared" si="1"/>
        <v>0</v>
      </c>
      <c r="T61" s="25">
        <f>IF(Table6[[#This Row],[Likely to take extension options (Y/N)?]]="Y",Table6[[#This Row],[Option to extend how many periods?]]+Table6[[#This Row],[Number of payments]],Table6[[#This Row],[Number of payments]])</f>
        <v>0</v>
      </c>
      <c r="U61" s="56">
        <f t="shared" si="2"/>
        <v>0</v>
      </c>
      <c r="V61" s="56">
        <f t="shared" si="3"/>
        <v>0</v>
      </c>
      <c r="W61" s="25">
        <v>1</v>
      </c>
      <c r="X61" s="57">
        <f t="shared" si="4"/>
        <v>0</v>
      </c>
    </row>
    <row r="62" spans="1:24" x14ac:dyDescent="0.2">
      <c r="A62" s="28">
        <v>54</v>
      </c>
      <c r="B62" s="19"/>
      <c r="C62" s="19"/>
      <c r="D62" s="20"/>
      <c r="E62" s="21"/>
      <c r="F62" s="20"/>
      <c r="G62" s="21"/>
      <c r="H62" s="19"/>
      <c r="I62" s="19"/>
      <c r="J62" s="22">
        <f t="shared" si="0"/>
        <v>0</v>
      </c>
      <c r="K62" s="23"/>
      <c r="L62" s="21"/>
      <c r="M62" s="21"/>
      <c r="N62" s="21"/>
      <c r="O62" s="21"/>
      <c r="P62" s="21"/>
      <c r="Q62" s="21"/>
      <c r="R62" s="24"/>
      <c r="S62" s="25">
        <f t="shared" si="1"/>
        <v>0</v>
      </c>
      <c r="T62" s="25">
        <f>IF(Table6[[#This Row],[Likely to take extension options (Y/N)?]]="Y",Table6[[#This Row],[Option to extend how many periods?]]+Table6[[#This Row],[Number of payments]],Table6[[#This Row],[Number of payments]])</f>
        <v>0</v>
      </c>
      <c r="U62" s="56">
        <f t="shared" si="2"/>
        <v>0</v>
      </c>
      <c r="V62" s="56">
        <f t="shared" si="3"/>
        <v>0</v>
      </c>
      <c r="W62" s="25">
        <v>1</v>
      </c>
      <c r="X62" s="57">
        <f t="shared" si="4"/>
        <v>0</v>
      </c>
    </row>
    <row r="63" spans="1:24" x14ac:dyDescent="0.2">
      <c r="A63" s="28">
        <v>55</v>
      </c>
      <c r="B63" s="19"/>
      <c r="C63" s="19"/>
      <c r="D63" s="20"/>
      <c r="E63" s="21"/>
      <c r="F63" s="20"/>
      <c r="G63" s="21"/>
      <c r="H63" s="19"/>
      <c r="I63" s="19"/>
      <c r="J63" s="22">
        <f t="shared" si="0"/>
        <v>0</v>
      </c>
      <c r="K63" s="23"/>
      <c r="L63" s="21"/>
      <c r="M63" s="21"/>
      <c r="N63" s="21"/>
      <c r="O63" s="21"/>
      <c r="P63" s="21"/>
      <c r="Q63" s="21"/>
      <c r="R63" s="24"/>
      <c r="S63" s="25">
        <f t="shared" si="1"/>
        <v>0</v>
      </c>
      <c r="T63" s="25">
        <f>IF(Table6[[#This Row],[Likely to take extension options (Y/N)?]]="Y",Table6[[#This Row],[Option to extend how many periods?]]+Table6[[#This Row],[Number of payments]],Table6[[#This Row],[Number of payments]])</f>
        <v>0</v>
      </c>
      <c r="U63" s="56">
        <f t="shared" si="2"/>
        <v>0</v>
      </c>
      <c r="V63" s="56">
        <f t="shared" si="3"/>
        <v>0</v>
      </c>
      <c r="W63" s="25">
        <v>1</v>
      </c>
      <c r="X63" s="57">
        <f t="shared" si="4"/>
        <v>0</v>
      </c>
    </row>
    <row r="64" spans="1:24" x14ac:dyDescent="0.2">
      <c r="A64" s="28">
        <v>56</v>
      </c>
      <c r="B64" s="19"/>
      <c r="C64" s="19"/>
      <c r="D64" s="20"/>
      <c r="E64" s="21"/>
      <c r="F64" s="20"/>
      <c r="G64" s="21"/>
      <c r="H64" s="19"/>
      <c r="I64" s="19"/>
      <c r="J64" s="22">
        <f t="shared" si="0"/>
        <v>0</v>
      </c>
      <c r="K64" s="23"/>
      <c r="L64" s="21"/>
      <c r="M64" s="21"/>
      <c r="N64" s="21"/>
      <c r="O64" s="21"/>
      <c r="P64" s="21"/>
      <c r="Q64" s="21"/>
      <c r="R64" s="24"/>
      <c r="S64" s="25">
        <f t="shared" si="1"/>
        <v>0</v>
      </c>
      <c r="T64" s="25">
        <f>IF(Table6[[#This Row],[Likely to take extension options (Y/N)?]]="Y",Table6[[#This Row],[Option to extend how many periods?]]+Table6[[#This Row],[Number of payments]],Table6[[#This Row],[Number of payments]])</f>
        <v>0</v>
      </c>
      <c r="U64" s="56">
        <f t="shared" si="2"/>
        <v>0</v>
      </c>
      <c r="V64" s="56">
        <f t="shared" si="3"/>
        <v>0</v>
      </c>
      <c r="W64" s="25">
        <v>1</v>
      </c>
      <c r="X64" s="57">
        <f t="shared" si="4"/>
        <v>0</v>
      </c>
    </row>
    <row r="65" spans="1:24" x14ac:dyDescent="0.2">
      <c r="A65" s="28">
        <v>57</v>
      </c>
      <c r="B65" s="19"/>
      <c r="C65" s="19"/>
      <c r="D65" s="20"/>
      <c r="E65" s="21"/>
      <c r="F65" s="20"/>
      <c r="G65" s="21"/>
      <c r="H65" s="19"/>
      <c r="I65" s="19"/>
      <c r="J65" s="22">
        <f t="shared" si="0"/>
        <v>0</v>
      </c>
      <c r="K65" s="23"/>
      <c r="L65" s="21"/>
      <c r="M65" s="21"/>
      <c r="N65" s="21"/>
      <c r="O65" s="21"/>
      <c r="P65" s="21"/>
      <c r="Q65" s="21"/>
      <c r="R65" s="24"/>
      <c r="S65" s="25">
        <f t="shared" si="1"/>
        <v>0</v>
      </c>
      <c r="T65" s="25">
        <f>IF(Table6[[#This Row],[Likely to take extension options (Y/N)?]]="Y",Table6[[#This Row],[Option to extend how many periods?]]+Table6[[#This Row],[Number of payments]],Table6[[#This Row],[Number of payments]])</f>
        <v>0</v>
      </c>
      <c r="U65" s="56">
        <f t="shared" si="2"/>
        <v>0</v>
      </c>
      <c r="V65" s="56">
        <f t="shared" si="3"/>
        <v>0</v>
      </c>
      <c r="W65" s="25">
        <v>1</v>
      </c>
      <c r="X65" s="57">
        <f t="shared" si="4"/>
        <v>0</v>
      </c>
    </row>
    <row r="66" spans="1:24" x14ac:dyDescent="0.2">
      <c r="A66" s="28">
        <v>58</v>
      </c>
      <c r="B66" s="19"/>
      <c r="C66" s="19"/>
      <c r="D66" s="20"/>
      <c r="E66" s="21"/>
      <c r="F66" s="20"/>
      <c r="G66" s="21"/>
      <c r="H66" s="19"/>
      <c r="I66" s="19"/>
      <c r="J66" s="22">
        <f t="shared" si="0"/>
        <v>0</v>
      </c>
      <c r="K66" s="23"/>
      <c r="L66" s="21"/>
      <c r="M66" s="21"/>
      <c r="N66" s="21"/>
      <c r="O66" s="21"/>
      <c r="P66" s="21"/>
      <c r="Q66" s="21"/>
      <c r="R66" s="24"/>
      <c r="S66" s="25">
        <f t="shared" si="1"/>
        <v>0</v>
      </c>
      <c r="T66" s="25">
        <f>IF(Table6[[#This Row],[Likely to take extension options (Y/N)?]]="Y",Table6[[#This Row],[Option to extend how many periods?]]+Table6[[#This Row],[Number of payments]],Table6[[#This Row],[Number of payments]])</f>
        <v>0</v>
      </c>
      <c r="U66" s="56">
        <f t="shared" si="2"/>
        <v>0</v>
      </c>
      <c r="V66" s="56">
        <f t="shared" si="3"/>
        <v>0</v>
      </c>
      <c r="W66" s="25">
        <v>1</v>
      </c>
      <c r="X66" s="57">
        <f t="shared" si="4"/>
        <v>0</v>
      </c>
    </row>
    <row r="67" spans="1:24" x14ac:dyDescent="0.2">
      <c r="A67" s="28">
        <v>59</v>
      </c>
      <c r="B67" s="19"/>
      <c r="C67" s="19"/>
      <c r="D67" s="20"/>
      <c r="E67" s="21"/>
      <c r="F67" s="20"/>
      <c r="G67" s="21"/>
      <c r="H67" s="19"/>
      <c r="I67" s="19"/>
      <c r="J67" s="22">
        <f t="shared" si="0"/>
        <v>0</v>
      </c>
      <c r="K67" s="23"/>
      <c r="L67" s="21"/>
      <c r="M67" s="21"/>
      <c r="N67" s="21"/>
      <c r="O67" s="21"/>
      <c r="P67" s="21"/>
      <c r="Q67" s="21"/>
      <c r="R67" s="24"/>
      <c r="S67" s="25">
        <f t="shared" si="1"/>
        <v>0</v>
      </c>
      <c r="T67" s="25">
        <f>IF(Table6[[#This Row],[Likely to take extension options (Y/N)?]]="Y",Table6[[#This Row],[Option to extend how many periods?]]+Table6[[#This Row],[Number of payments]],Table6[[#This Row],[Number of payments]])</f>
        <v>0</v>
      </c>
      <c r="U67" s="56">
        <f t="shared" si="2"/>
        <v>0</v>
      </c>
      <c r="V67" s="56">
        <f t="shared" si="3"/>
        <v>0</v>
      </c>
      <c r="W67" s="25">
        <v>1</v>
      </c>
      <c r="X67" s="57">
        <f t="shared" si="4"/>
        <v>0</v>
      </c>
    </row>
    <row r="68" spans="1:24" x14ac:dyDescent="0.2">
      <c r="A68" s="28">
        <v>60</v>
      </c>
      <c r="B68" s="19"/>
      <c r="C68" s="19"/>
      <c r="D68" s="20"/>
      <c r="E68" s="21"/>
      <c r="F68" s="20"/>
      <c r="G68" s="21"/>
      <c r="H68" s="19"/>
      <c r="I68" s="19"/>
      <c r="J68" s="22">
        <f t="shared" si="0"/>
        <v>0</v>
      </c>
      <c r="K68" s="23"/>
      <c r="L68" s="21"/>
      <c r="M68" s="21"/>
      <c r="N68" s="21"/>
      <c r="O68" s="21"/>
      <c r="P68" s="21"/>
      <c r="Q68" s="21"/>
      <c r="R68" s="24"/>
      <c r="S68" s="25">
        <f t="shared" si="1"/>
        <v>0</v>
      </c>
      <c r="T68" s="25">
        <f>IF(Table6[[#This Row],[Likely to take extension options (Y/N)?]]="Y",Table6[[#This Row],[Option to extend how many periods?]]+Table6[[#This Row],[Number of payments]],Table6[[#This Row],[Number of payments]])</f>
        <v>0</v>
      </c>
      <c r="U68" s="56">
        <f t="shared" si="2"/>
        <v>0</v>
      </c>
      <c r="V68" s="56">
        <f t="shared" si="3"/>
        <v>0</v>
      </c>
      <c r="W68" s="25">
        <v>1</v>
      </c>
      <c r="X68" s="57">
        <f t="shared" si="4"/>
        <v>0</v>
      </c>
    </row>
    <row r="69" spans="1:24" x14ac:dyDescent="0.2">
      <c r="A69" s="28">
        <v>61</v>
      </c>
      <c r="B69" s="19"/>
      <c r="C69" s="19"/>
      <c r="D69" s="20"/>
      <c r="E69" s="21"/>
      <c r="F69" s="20"/>
      <c r="G69" s="21"/>
      <c r="H69" s="19"/>
      <c r="I69" s="19"/>
      <c r="J69" s="22">
        <f t="shared" si="0"/>
        <v>0</v>
      </c>
      <c r="K69" s="23"/>
      <c r="L69" s="21"/>
      <c r="M69" s="21"/>
      <c r="N69" s="21"/>
      <c r="O69" s="21"/>
      <c r="P69" s="21"/>
      <c r="Q69" s="21"/>
      <c r="R69" s="24"/>
      <c r="S69" s="25">
        <f t="shared" si="1"/>
        <v>0</v>
      </c>
      <c r="T69" s="25">
        <f>IF(Table6[[#This Row],[Likely to take extension options (Y/N)?]]="Y",Table6[[#This Row],[Option to extend how many periods?]]+Table6[[#This Row],[Number of payments]],Table6[[#This Row],[Number of payments]])</f>
        <v>0</v>
      </c>
      <c r="U69" s="56">
        <f t="shared" si="2"/>
        <v>0</v>
      </c>
      <c r="V69" s="56">
        <f t="shared" si="3"/>
        <v>0</v>
      </c>
      <c r="W69" s="25">
        <v>1</v>
      </c>
      <c r="X69" s="57">
        <f t="shared" si="4"/>
        <v>0</v>
      </c>
    </row>
    <row r="70" spans="1:24" x14ac:dyDescent="0.2">
      <c r="A70" s="28">
        <v>62</v>
      </c>
      <c r="B70" s="19"/>
      <c r="C70" s="19"/>
      <c r="D70" s="20"/>
      <c r="E70" s="21"/>
      <c r="F70" s="20"/>
      <c r="G70" s="21"/>
      <c r="H70" s="19"/>
      <c r="I70" s="19"/>
      <c r="J70" s="22">
        <f t="shared" si="0"/>
        <v>0</v>
      </c>
      <c r="K70" s="23"/>
      <c r="L70" s="21"/>
      <c r="M70" s="21"/>
      <c r="N70" s="21"/>
      <c r="O70" s="21"/>
      <c r="P70" s="21"/>
      <c r="Q70" s="21"/>
      <c r="R70" s="24"/>
      <c r="S70" s="25">
        <f t="shared" si="1"/>
        <v>0</v>
      </c>
      <c r="T70" s="25">
        <f>IF(Table6[[#This Row],[Likely to take extension options (Y/N)?]]="Y",Table6[[#This Row],[Option to extend how many periods?]]+Table6[[#This Row],[Number of payments]],Table6[[#This Row],[Number of payments]])</f>
        <v>0</v>
      </c>
      <c r="U70" s="56">
        <f t="shared" si="2"/>
        <v>0</v>
      </c>
      <c r="V70" s="56">
        <f t="shared" si="3"/>
        <v>0</v>
      </c>
      <c r="W70" s="25">
        <v>1</v>
      </c>
      <c r="X70" s="57">
        <f t="shared" si="4"/>
        <v>0</v>
      </c>
    </row>
    <row r="71" spans="1:24" x14ac:dyDescent="0.2">
      <c r="A71" s="28">
        <v>63</v>
      </c>
      <c r="B71" s="19"/>
      <c r="C71" s="19"/>
      <c r="D71" s="20"/>
      <c r="E71" s="21"/>
      <c r="F71" s="20"/>
      <c r="G71" s="21"/>
      <c r="H71" s="19"/>
      <c r="I71" s="19"/>
      <c r="J71" s="22">
        <f t="shared" si="0"/>
        <v>0</v>
      </c>
      <c r="K71" s="23"/>
      <c r="L71" s="21"/>
      <c r="M71" s="21"/>
      <c r="N71" s="21"/>
      <c r="O71" s="21"/>
      <c r="P71" s="21"/>
      <c r="Q71" s="21"/>
      <c r="R71" s="24"/>
      <c r="S71" s="25">
        <f t="shared" si="1"/>
        <v>0</v>
      </c>
      <c r="T71" s="25">
        <f>IF(Table6[[#This Row],[Likely to take extension options (Y/N)?]]="Y",Table6[[#This Row],[Option to extend how many periods?]]+Table6[[#This Row],[Number of payments]],Table6[[#This Row],[Number of payments]])</f>
        <v>0</v>
      </c>
      <c r="U71" s="56">
        <f t="shared" si="2"/>
        <v>0</v>
      </c>
      <c r="V71" s="56">
        <f t="shared" si="3"/>
        <v>0</v>
      </c>
      <c r="W71" s="25">
        <v>1</v>
      </c>
      <c r="X71" s="57">
        <f t="shared" si="4"/>
        <v>0</v>
      </c>
    </row>
    <row r="72" spans="1:24" x14ac:dyDescent="0.2">
      <c r="A72" s="28">
        <v>64</v>
      </c>
      <c r="B72" s="19"/>
      <c r="C72" s="19"/>
      <c r="D72" s="20"/>
      <c r="E72" s="21"/>
      <c r="F72" s="20"/>
      <c r="G72" s="21"/>
      <c r="H72" s="19"/>
      <c r="I72" s="19"/>
      <c r="J72" s="22">
        <f t="shared" si="0"/>
        <v>0</v>
      </c>
      <c r="K72" s="23"/>
      <c r="L72" s="21"/>
      <c r="M72" s="21"/>
      <c r="N72" s="21"/>
      <c r="O72" s="21"/>
      <c r="P72" s="21"/>
      <c r="Q72" s="21"/>
      <c r="R72" s="24"/>
      <c r="S72" s="25">
        <f t="shared" si="1"/>
        <v>0</v>
      </c>
      <c r="T72" s="25">
        <f>IF(Table6[[#This Row],[Likely to take extension options (Y/N)?]]="Y",Table6[[#This Row],[Option to extend how many periods?]]+Table6[[#This Row],[Number of payments]],Table6[[#This Row],[Number of payments]])</f>
        <v>0</v>
      </c>
      <c r="U72" s="56">
        <f t="shared" si="2"/>
        <v>0</v>
      </c>
      <c r="V72" s="56">
        <f t="shared" si="3"/>
        <v>0</v>
      </c>
      <c r="W72" s="25">
        <v>1</v>
      </c>
      <c r="X72" s="57">
        <f t="shared" si="4"/>
        <v>0</v>
      </c>
    </row>
    <row r="73" spans="1:24" x14ac:dyDescent="0.2">
      <c r="A73" s="28">
        <v>65</v>
      </c>
      <c r="B73" s="19"/>
      <c r="C73" s="19"/>
      <c r="D73" s="20"/>
      <c r="E73" s="21"/>
      <c r="F73" s="20"/>
      <c r="G73" s="21"/>
      <c r="H73" s="19"/>
      <c r="I73" s="19"/>
      <c r="J73" s="22">
        <f t="shared" ref="J73:J108" si="5">H73*(IF(I73="M",12,IF(I73="b",6,IF(I73="a",1,IF(I73="q",4,0)))))</f>
        <v>0</v>
      </c>
      <c r="K73" s="23"/>
      <c r="L73" s="21"/>
      <c r="M73" s="21"/>
      <c r="N73" s="21"/>
      <c r="O73" s="21"/>
      <c r="P73" s="21"/>
      <c r="Q73" s="21"/>
      <c r="R73" s="24"/>
      <c r="S73" s="25">
        <f t="shared" ref="S73:S108" si="6">K73/12</f>
        <v>0</v>
      </c>
      <c r="T73" s="25">
        <f>IF(Table6[[#This Row],[Likely to take extension options (Y/N)?]]="Y",Table6[[#This Row],[Option to extend how many periods?]]+Table6[[#This Row],[Number of payments]],Table6[[#This Row],[Number of payments]])</f>
        <v>0</v>
      </c>
      <c r="U73" s="56">
        <f t="shared" ref="U73:U108" si="7">G73</f>
        <v>0</v>
      </c>
      <c r="V73" s="56">
        <f t="shared" ref="V73:V108" si="8">O73</f>
        <v>0</v>
      </c>
      <c r="W73" s="25">
        <v>1</v>
      </c>
      <c r="X73" s="57">
        <f t="shared" ref="X73:X108" si="9">PV(S73,T73,U73,V73,W73)</f>
        <v>0</v>
      </c>
    </row>
    <row r="74" spans="1:24" x14ac:dyDescent="0.2">
      <c r="A74" s="28">
        <v>66</v>
      </c>
      <c r="B74" s="19"/>
      <c r="C74" s="19"/>
      <c r="D74" s="20"/>
      <c r="E74" s="21"/>
      <c r="F74" s="20"/>
      <c r="G74" s="21"/>
      <c r="H74" s="19"/>
      <c r="I74" s="19"/>
      <c r="J74" s="22">
        <f t="shared" si="5"/>
        <v>0</v>
      </c>
      <c r="K74" s="23"/>
      <c r="L74" s="21"/>
      <c r="M74" s="21"/>
      <c r="N74" s="21"/>
      <c r="O74" s="21"/>
      <c r="P74" s="21"/>
      <c r="Q74" s="21"/>
      <c r="R74" s="24"/>
      <c r="S74" s="25">
        <f t="shared" si="6"/>
        <v>0</v>
      </c>
      <c r="T74" s="25">
        <f>IF(Table6[[#This Row],[Likely to take extension options (Y/N)?]]="Y",Table6[[#This Row],[Option to extend how many periods?]]+Table6[[#This Row],[Number of payments]],Table6[[#This Row],[Number of payments]])</f>
        <v>0</v>
      </c>
      <c r="U74" s="56">
        <f t="shared" si="7"/>
        <v>0</v>
      </c>
      <c r="V74" s="56">
        <f t="shared" si="8"/>
        <v>0</v>
      </c>
      <c r="W74" s="25">
        <v>1</v>
      </c>
      <c r="X74" s="57">
        <f t="shared" si="9"/>
        <v>0</v>
      </c>
    </row>
    <row r="75" spans="1:24" x14ac:dyDescent="0.2">
      <c r="A75" s="28">
        <v>67</v>
      </c>
      <c r="B75" s="19"/>
      <c r="C75" s="19"/>
      <c r="D75" s="20"/>
      <c r="E75" s="21"/>
      <c r="F75" s="20"/>
      <c r="G75" s="21"/>
      <c r="H75" s="19"/>
      <c r="I75" s="19"/>
      <c r="J75" s="22">
        <f t="shared" si="5"/>
        <v>0</v>
      </c>
      <c r="K75" s="23"/>
      <c r="L75" s="21"/>
      <c r="M75" s="21"/>
      <c r="N75" s="21"/>
      <c r="O75" s="21"/>
      <c r="P75" s="21"/>
      <c r="Q75" s="21"/>
      <c r="R75" s="24"/>
      <c r="S75" s="25">
        <f t="shared" si="6"/>
        <v>0</v>
      </c>
      <c r="T75" s="25">
        <f>IF(Table6[[#This Row],[Likely to take extension options (Y/N)?]]="Y",Table6[[#This Row],[Option to extend how many periods?]]+Table6[[#This Row],[Number of payments]],Table6[[#This Row],[Number of payments]])</f>
        <v>0</v>
      </c>
      <c r="U75" s="56">
        <f t="shared" si="7"/>
        <v>0</v>
      </c>
      <c r="V75" s="56">
        <f t="shared" si="8"/>
        <v>0</v>
      </c>
      <c r="W75" s="25">
        <v>1</v>
      </c>
      <c r="X75" s="57">
        <f t="shared" si="9"/>
        <v>0</v>
      </c>
    </row>
    <row r="76" spans="1:24" x14ac:dyDescent="0.2">
      <c r="A76" s="28">
        <v>68</v>
      </c>
      <c r="B76" s="19"/>
      <c r="C76" s="19"/>
      <c r="D76" s="20"/>
      <c r="E76" s="21"/>
      <c r="F76" s="20"/>
      <c r="G76" s="21"/>
      <c r="H76" s="19"/>
      <c r="I76" s="19"/>
      <c r="J76" s="22">
        <f t="shared" si="5"/>
        <v>0</v>
      </c>
      <c r="K76" s="23"/>
      <c r="L76" s="21"/>
      <c r="M76" s="21"/>
      <c r="N76" s="21"/>
      <c r="O76" s="21"/>
      <c r="P76" s="21"/>
      <c r="Q76" s="21"/>
      <c r="R76" s="24"/>
      <c r="S76" s="25">
        <f t="shared" si="6"/>
        <v>0</v>
      </c>
      <c r="T76" s="25">
        <f>IF(Table6[[#This Row],[Likely to take extension options (Y/N)?]]="Y",Table6[[#This Row],[Option to extend how many periods?]]+Table6[[#This Row],[Number of payments]],Table6[[#This Row],[Number of payments]])</f>
        <v>0</v>
      </c>
      <c r="U76" s="56">
        <f t="shared" si="7"/>
        <v>0</v>
      </c>
      <c r="V76" s="56">
        <f t="shared" si="8"/>
        <v>0</v>
      </c>
      <c r="W76" s="25">
        <v>1</v>
      </c>
      <c r="X76" s="57">
        <f t="shared" si="9"/>
        <v>0</v>
      </c>
    </row>
    <row r="77" spans="1:24" x14ac:dyDescent="0.2">
      <c r="A77" s="28">
        <v>69</v>
      </c>
      <c r="B77" s="19"/>
      <c r="C77" s="19"/>
      <c r="D77" s="20"/>
      <c r="E77" s="21"/>
      <c r="F77" s="20"/>
      <c r="G77" s="21"/>
      <c r="H77" s="19"/>
      <c r="I77" s="19"/>
      <c r="J77" s="22">
        <f t="shared" si="5"/>
        <v>0</v>
      </c>
      <c r="K77" s="23"/>
      <c r="L77" s="21"/>
      <c r="M77" s="21"/>
      <c r="N77" s="21"/>
      <c r="O77" s="21"/>
      <c r="P77" s="21"/>
      <c r="Q77" s="21"/>
      <c r="R77" s="24"/>
      <c r="S77" s="25">
        <f t="shared" si="6"/>
        <v>0</v>
      </c>
      <c r="T77" s="25">
        <f>IF(Table6[[#This Row],[Likely to take extension options (Y/N)?]]="Y",Table6[[#This Row],[Option to extend how many periods?]]+Table6[[#This Row],[Number of payments]],Table6[[#This Row],[Number of payments]])</f>
        <v>0</v>
      </c>
      <c r="U77" s="56">
        <f t="shared" si="7"/>
        <v>0</v>
      </c>
      <c r="V77" s="56">
        <f t="shared" si="8"/>
        <v>0</v>
      </c>
      <c r="W77" s="25">
        <v>1</v>
      </c>
      <c r="X77" s="57">
        <f t="shared" si="9"/>
        <v>0</v>
      </c>
    </row>
    <row r="78" spans="1:24" x14ac:dyDescent="0.2">
      <c r="A78" s="28">
        <v>70</v>
      </c>
      <c r="B78" s="19"/>
      <c r="C78" s="19"/>
      <c r="D78" s="20"/>
      <c r="E78" s="21"/>
      <c r="F78" s="20"/>
      <c r="G78" s="21"/>
      <c r="H78" s="19"/>
      <c r="I78" s="19"/>
      <c r="J78" s="22">
        <f t="shared" si="5"/>
        <v>0</v>
      </c>
      <c r="K78" s="23"/>
      <c r="L78" s="21"/>
      <c r="M78" s="21"/>
      <c r="N78" s="21"/>
      <c r="O78" s="21"/>
      <c r="P78" s="21"/>
      <c r="Q78" s="21"/>
      <c r="R78" s="24"/>
      <c r="S78" s="25">
        <f t="shared" si="6"/>
        <v>0</v>
      </c>
      <c r="T78" s="25">
        <f>IF(Table6[[#This Row],[Likely to take extension options (Y/N)?]]="Y",Table6[[#This Row],[Option to extend how many periods?]]+Table6[[#This Row],[Number of payments]],Table6[[#This Row],[Number of payments]])</f>
        <v>0</v>
      </c>
      <c r="U78" s="56">
        <f t="shared" si="7"/>
        <v>0</v>
      </c>
      <c r="V78" s="56">
        <f t="shared" si="8"/>
        <v>0</v>
      </c>
      <c r="W78" s="25">
        <v>1</v>
      </c>
      <c r="X78" s="57">
        <f t="shared" si="9"/>
        <v>0</v>
      </c>
    </row>
    <row r="79" spans="1:24" x14ac:dyDescent="0.2">
      <c r="A79" s="28">
        <v>71</v>
      </c>
      <c r="B79" s="19"/>
      <c r="C79" s="19"/>
      <c r="D79" s="20"/>
      <c r="E79" s="21"/>
      <c r="F79" s="20"/>
      <c r="G79" s="21"/>
      <c r="H79" s="19"/>
      <c r="I79" s="19"/>
      <c r="J79" s="22">
        <f t="shared" si="5"/>
        <v>0</v>
      </c>
      <c r="K79" s="23"/>
      <c r="L79" s="21"/>
      <c r="M79" s="21"/>
      <c r="N79" s="21"/>
      <c r="O79" s="21"/>
      <c r="P79" s="21"/>
      <c r="Q79" s="21"/>
      <c r="R79" s="24"/>
      <c r="S79" s="25">
        <f t="shared" si="6"/>
        <v>0</v>
      </c>
      <c r="T79" s="25">
        <f>IF(Table6[[#This Row],[Likely to take extension options (Y/N)?]]="Y",Table6[[#This Row],[Option to extend how many periods?]]+Table6[[#This Row],[Number of payments]],Table6[[#This Row],[Number of payments]])</f>
        <v>0</v>
      </c>
      <c r="U79" s="56">
        <f t="shared" si="7"/>
        <v>0</v>
      </c>
      <c r="V79" s="56">
        <f t="shared" si="8"/>
        <v>0</v>
      </c>
      <c r="W79" s="25">
        <v>1</v>
      </c>
      <c r="X79" s="57">
        <f t="shared" si="9"/>
        <v>0</v>
      </c>
    </row>
    <row r="80" spans="1:24" x14ac:dyDescent="0.2">
      <c r="A80" s="28">
        <v>72</v>
      </c>
      <c r="B80" s="19"/>
      <c r="C80" s="19"/>
      <c r="D80" s="20"/>
      <c r="E80" s="21"/>
      <c r="F80" s="20"/>
      <c r="G80" s="21"/>
      <c r="H80" s="19"/>
      <c r="I80" s="19"/>
      <c r="J80" s="22">
        <f t="shared" si="5"/>
        <v>0</v>
      </c>
      <c r="K80" s="23"/>
      <c r="L80" s="21"/>
      <c r="M80" s="21"/>
      <c r="N80" s="21"/>
      <c r="O80" s="21"/>
      <c r="P80" s="21"/>
      <c r="Q80" s="21"/>
      <c r="R80" s="24"/>
      <c r="S80" s="25">
        <f t="shared" si="6"/>
        <v>0</v>
      </c>
      <c r="T80" s="25">
        <f>IF(Table6[[#This Row],[Likely to take extension options (Y/N)?]]="Y",Table6[[#This Row],[Option to extend how many periods?]]+Table6[[#This Row],[Number of payments]],Table6[[#This Row],[Number of payments]])</f>
        <v>0</v>
      </c>
      <c r="U80" s="56">
        <f t="shared" si="7"/>
        <v>0</v>
      </c>
      <c r="V80" s="56">
        <f t="shared" si="8"/>
        <v>0</v>
      </c>
      <c r="W80" s="25">
        <v>1</v>
      </c>
      <c r="X80" s="57">
        <f t="shared" si="9"/>
        <v>0</v>
      </c>
    </row>
    <row r="81" spans="1:24" x14ac:dyDescent="0.2">
      <c r="A81" s="28">
        <v>73</v>
      </c>
      <c r="B81" s="19"/>
      <c r="C81" s="19"/>
      <c r="D81" s="20"/>
      <c r="E81" s="21"/>
      <c r="F81" s="20"/>
      <c r="G81" s="21"/>
      <c r="H81" s="19"/>
      <c r="I81" s="19"/>
      <c r="J81" s="22">
        <f t="shared" si="5"/>
        <v>0</v>
      </c>
      <c r="K81" s="23"/>
      <c r="L81" s="21"/>
      <c r="M81" s="21"/>
      <c r="N81" s="21"/>
      <c r="O81" s="21"/>
      <c r="P81" s="21"/>
      <c r="Q81" s="21"/>
      <c r="R81" s="24"/>
      <c r="S81" s="25">
        <f t="shared" si="6"/>
        <v>0</v>
      </c>
      <c r="T81" s="25">
        <f>IF(Table6[[#This Row],[Likely to take extension options (Y/N)?]]="Y",Table6[[#This Row],[Option to extend how many periods?]]+Table6[[#This Row],[Number of payments]],Table6[[#This Row],[Number of payments]])</f>
        <v>0</v>
      </c>
      <c r="U81" s="56">
        <f t="shared" si="7"/>
        <v>0</v>
      </c>
      <c r="V81" s="56">
        <f t="shared" si="8"/>
        <v>0</v>
      </c>
      <c r="W81" s="25">
        <v>1</v>
      </c>
      <c r="X81" s="57">
        <f t="shared" si="9"/>
        <v>0</v>
      </c>
    </row>
    <row r="82" spans="1:24" x14ac:dyDescent="0.2">
      <c r="A82" s="28">
        <v>74</v>
      </c>
      <c r="B82" s="19"/>
      <c r="C82" s="19"/>
      <c r="D82" s="20"/>
      <c r="E82" s="21"/>
      <c r="F82" s="20"/>
      <c r="G82" s="21"/>
      <c r="H82" s="19"/>
      <c r="I82" s="19"/>
      <c r="J82" s="22">
        <f t="shared" si="5"/>
        <v>0</v>
      </c>
      <c r="K82" s="23"/>
      <c r="L82" s="21"/>
      <c r="M82" s="21"/>
      <c r="N82" s="21"/>
      <c r="O82" s="21"/>
      <c r="P82" s="21"/>
      <c r="Q82" s="21"/>
      <c r="R82" s="24"/>
      <c r="S82" s="25">
        <f t="shared" si="6"/>
        <v>0</v>
      </c>
      <c r="T82" s="25">
        <f>IF(Table6[[#This Row],[Likely to take extension options (Y/N)?]]="Y",Table6[[#This Row],[Option to extend how many periods?]]+Table6[[#This Row],[Number of payments]],Table6[[#This Row],[Number of payments]])</f>
        <v>0</v>
      </c>
      <c r="U82" s="56">
        <f t="shared" si="7"/>
        <v>0</v>
      </c>
      <c r="V82" s="56">
        <f t="shared" si="8"/>
        <v>0</v>
      </c>
      <c r="W82" s="25">
        <v>1</v>
      </c>
      <c r="X82" s="57">
        <f t="shared" si="9"/>
        <v>0</v>
      </c>
    </row>
    <row r="83" spans="1:24" x14ac:dyDescent="0.2">
      <c r="A83" s="28">
        <v>75</v>
      </c>
      <c r="B83" s="19"/>
      <c r="C83" s="19"/>
      <c r="D83" s="20"/>
      <c r="E83" s="21"/>
      <c r="F83" s="20"/>
      <c r="G83" s="21"/>
      <c r="H83" s="19"/>
      <c r="I83" s="19"/>
      <c r="J83" s="22">
        <f t="shared" si="5"/>
        <v>0</v>
      </c>
      <c r="K83" s="23"/>
      <c r="L83" s="21"/>
      <c r="M83" s="21"/>
      <c r="N83" s="21"/>
      <c r="O83" s="21"/>
      <c r="P83" s="21"/>
      <c r="Q83" s="21"/>
      <c r="R83" s="24"/>
      <c r="S83" s="25">
        <f t="shared" si="6"/>
        <v>0</v>
      </c>
      <c r="T83" s="25">
        <f>IF(Table6[[#This Row],[Likely to take extension options (Y/N)?]]="Y",Table6[[#This Row],[Option to extend how many periods?]]+Table6[[#This Row],[Number of payments]],Table6[[#This Row],[Number of payments]])</f>
        <v>0</v>
      </c>
      <c r="U83" s="56">
        <f t="shared" si="7"/>
        <v>0</v>
      </c>
      <c r="V83" s="56">
        <f t="shared" si="8"/>
        <v>0</v>
      </c>
      <c r="W83" s="25">
        <v>1</v>
      </c>
      <c r="X83" s="57">
        <f t="shared" si="9"/>
        <v>0</v>
      </c>
    </row>
    <row r="84" spans="1:24" x14ac:dyDescent="0.2">
      <c r="A84" s="28">
        <v>76</v>
      </c>
      <c r="B84" s="19"/>
      <c r="C84" s="19"/>
      <c r="D84" s="20"/>
      <c r="E84" s="21"/>
      <c r="F84" s="20"/>
      <c r="G84" s="21"/>
      <c r="H84" s="19"/>
      <c r="I84" s="19"/>
      <c r="J84" s="22">
        <f t="shared" si="5"/>
        <v>0</v>
      </c>
      <c r="K84" s="23"/>
      <c r="L84" s="21"/>
      <c r="M84" s="21"/>
      <c r="N84" s="21"/>
      <c r="O84" s="21"/>
      <c r="P84" s="21"/>
      <c r="Q84" s="21"/>
      <c r="R84" s="24"/>
      <c r="S84" s="25">
        <f t="shared" si="6"/>
        <v>0</v>
      </c>
      <c r="T84" s="25">
        <f>IF(Table6[[#This Row],[Likely to take extension options (Y/N)?]]="Y",Table6[[#This Row],[Option to extend how many periods?]]+Table6[[#This Row],[Number of payments]],Table6[[#This Row],[Number of payments]])</f>
        <v>0</v>
      </c>
      <c r="U84" s="56">
        <f t="shared" si="7"/>
        <v>0</v>
      </c>
      <c r="V84" s="56">
        <f t="shared" si="8"/>
        <v>0</v>
      </c>
      <c r="W84" s="25">
        <v>1</v>
      </c>
      <c r="X84" s="57">
        <f t="shared" si="9"/>
        <v>0</v>
      </c>
    </row>
    <row r="85" spans="1:24" x14ac:dyDescent="0.2">
      <c r="A85" s="28">
        <v>77</v>
      </c>
      <c r="B85" s="19"/>
      <c r="C85" s="19"/>
      <c r="D85" s="20"/>
      <c r="E85" s="21"/>
      <c r="F85" s="20"/>
      <c r="G85" s="21"/>
      <c r="H85" s="19"/>
      <c r="I85" s="19"/>
      <c r="J85" s="22">
        <f t="shared" si="5"/>
        <v>0</v>
      </c>
      <c r="K85" s="23"/>
      <c r="L85" s="21"/>
      <c r="M85" s="21"/>
      <c r="N85" s="21"/>
      <c r="O85" s="21"/>
      <c r="P85" s="21"/>
      <c r="Q85" s="21"/>
      <c r="R85" s="24"/>
      <c r="S85" s="25">
        <f t="shared" si="6"/>
        <v>0</v>
      </c>
      <c r="T85" s="25">
        <f>IF(Table6[[#This Row],[Likely to take extension options (Y/N)?]]="Y",Table6[[#This Row],[Option to extend how many periods?]]+Table6[[#This Row],[Number of payments]],Table6[[#This Row],[Number of payments]])</f>
        <v>0</v>
      </c>
      <c r="U85" s="56">
        <f t="shared" si="7"/>
        <v>0</v>
      </c>
      <c r="V85" s="56">
        <f t="shared" si="8"/>
        <v>0</v>
      </c>
      <c r="W85" s="25">
        <v>1</v>
      </c>
      <c r="X85" s="57">
        <f t="shared" si="9"/>
        <v>0</v>
      </c>
    </row>
    <row r="86" spans="1:24" x14ac:dyDescent="0.2">
      <c r="A86" s="28">
        <v>78</v>
      </c>
      <c r="B86" s="19"/>
      <c r="C86" s="19"/>
      <c r="D86" s="20"/>
      <c r="E86" s="21"/>
      <c r="F86" s="20"/>
      <c r="G86" s="21"/>
      <c r="H86" s="19"/>
      <c r="I86" s="19"/>
      <c r="J86" s="22">
        <f t="shared" si="5"/>
        <v>0</v>
      </c>
      <c r="K86" s="23"/>
      <c r="L86" s="21"/>
      <c r="M86" s="21"/>
      <c r="N86" s="21"/>
      <c r="O86" s="21"/>
      <c r="P86" s="21"/>
      <c r="Q86" s="21"/>
      <c r="R86" s="24"/>
      <c r="S86" s="25">
        <f t="shared" si="6"/>
        <v>0</v>
      </c>
      <c r="T86" s="25">
        <f>IF(Table6[[#This Row],[Likely to take extension options (Y/N)?]]="Y",Table6[[#This Row],[Option to extend how many periods?]]+Table6[[#This Row],[Number of payments]],Table6[[#This Row],[Number of payments]])</f>
        <v>0</v>
      </c>
      <c r="U86" s="56">
        <f t="shared" si="7"/>
        <v>0</v>
      </c>
      <c r="V86" s="56">
        <f t="shared" si="8"/>
        <v>0</v>
      </c>
      <c r="W86" s="25">
        <v>1</v>
      </c>
      <c r="X86" s="57">
        <f t="shared" si="9"/>
        <v>0</v>
      </c>
    </row>
    <row r="87" spans="1:24" x14ac:dyDescent="0.2">
      <c r="A87" s="28">
        <v>79</v>
      </c>
      <c r="B87" s="19"/>
      <c r="C87" s="19"/>
      <c r="D87" s="20"/>
      <c r="E87" s="21"/>
      <c r="F87" s="20"/>
      <c r="G87" s="21"/>
      <c r="H87" s="19"/>
      <c r="I87" s="19"/>
      <c r="J87" s="22">
        <f t="shared" si="5"/>
        <v>0</v>
      </c>
      <c r="K87" s="23"/>
      <c r="L87" s="21"/>
      <c r="M87" s="21"/>
      <c r="N87" s="21"/>
      <c r="O87" s="21"/>
      <c r="P87" s="21"/>
      <c r="Q87" s="21"/>
      <c r="R87" s="24"/>
      <c r="S87" s="25">
        <f t="shared" si="6"/>
        <v>0</v>
      </c>
      <c r="T87" s="25">
        <f>IF(Table6[[#This Row],[Likely to take extension options (Y/N)?]]="Y",Table6[[#This Row],[Option to extend how many periods?]]+Table6[[#This Row],[Number of payments]],Table6[[#This Row],[Number of payments]])</f>
        <v>0</v>
      </c>
      <c r="U87" s="56">
        <f t="shared" si="7"/>
        <v>0</v>
      </c>
      <c r="V87" s="56">
        <f t="shared" si="8"/>
        <v>0</v>
      </c>
      <c r="W87" s="25">
        <v>1</v>
      </c>
      <c r="X87" s="57">
        <f t="shared" si="9"/>
        <v>0</v>
      </c>
    </row>
    <row r="88" spans="1:24" x14ac:dyDescent="0.2">
      <c r="A88" s="28">
        <v>80</v>
      </c>
      <c r="B88" s="19"/>
      <c r="C88" s="19"/>
      <c r="D88" s="20"/>
      <c r="E88" s="21"/>
      <c r="F88" s="20"/>
      <c r="G88" s="21"/>
      <c r="H88" s="19"/>
      <c r="I88" s="19"/>
      <c r="J88" s="22">
        <f t="shared" si="5"/>
        <v>0</v>
      </c>
      <c r="K88" s="23"/>
      <c r="L88" s="21"/>
      <c r="M88" s="21"/>
      <c r="N88" s="21"/>
      <c r="O88" s="21"/>
      <c r="P88" s="21"/>
      <c r="Q88" s="21"/>
      <c r="R88" s="24"/>
      <c r="S88" s="25">
        <f t="shared" si="6"/>
        <v>0</v>
      </c>
      <c r="T88" s="25">
        <f>IF(Table6[[#This Row],[Likely to take extension options (Y/N)?]]="Y",Table6[[#This Row],[Option to extend how many periods?]]+Table6[[#This Row],[Number of payments]],Table6[[#This Row],[Number of payments]])</f>
        <v>0</v>
      </c>
      <c r="U88" s="56">
        <f t="shared" si="7"/>
        <v>0</v>
      </c>
      <c r="V88" s="56">
        <f t="shared" si="8"/>
        <v>0</v>
      </c>
      <c r="W88" s="25">
        <v>1</v>
      </c>
      <c r="X88" s="57">
        <f t="shared" si="9"/>
        <v>0</v>
      </c>
    </row>
    <row r="89" spans="1:24" x14ac:dyDescent="0.2">
      <c r="A89" s="28">
        <v>81</v>
      </c>
      <c r="B89" s="19"/>
      <c r="C89" s="19"/>
      <c r="D89" s="20"/>
      <c r="E89" s="21"/>
      <c r="F89" s="20"/>
      <c r="G89" s="21"/>
      <c r="H89" s="19"/>
      <c r="I89" s="19"/>
      <c r="J89" s="22">
        <f t="shared" si="5"/>
        <v>0</v>
      </c>
      <c r="K89" s="23"/>
      <c r="L89" s="21"/>
      <c r="M89" s="21"/>
      <c r="N89" s="21"/>
      <c r="O89" s="21"/>
      <c r="P89" s="21"/>
      <c r="Q89" s="21"/>
      <c r="R89" s="24"/>
      <c r="S89" s="25">
        <f t="shared" si="6"/>
        <v>0</v>
      </c>
      <c r="T89" s="25">
        <f>IF(Table6[[#This Row],[Likely to take extension options (Y/N)?]]="Y",Table6[[#This Row],[Option to extend how many periods?]]+Table6[[#This Row],[Number of payments]],Table6[[#This Row],[Number of payments]])</f>
        <v>0</v>
      </c>
      <c r="U89" s="56">
        <f t="shared" si="7"/>
        <v>0</v>
      </c>
      <c r="V89" s="56">
        <f t="shared" si="8"/>
        <v>0</v>
      </c>
      <c r="W89" s="25">
        <v>1</v>
      </c>
      <c r="X89" s="57">
        <f t="shared" si="9"/>
        <v>0</v>
      </c>
    </row>
    <row r="90" spans="1:24" x14ac:dyDescent="0.2">
      <c r="A90" s="28">
        <v>82</v>
      </c>
      <c r="B90" s="19"/>
      <c r="C90" s="19"/>
      <c r="D90" s="20"/>
      <c r="E90" s="21"/>
      <c r="F90" s="20"/>
      <c r="G90" s="21"/>
      <c r="H90" s="19"/>
      <c r="I90" s="19"/>
      <c r="J90" s="22">
        <f t="shared" si="5"/>
        <v>0</v>
      </c>
      <c r="K90" s="23"/>
      <c r="L90" s="21"/>
      <c r="M90" s="21"/>
      <c r="N90" s="21"/>
      <c r="O90" s="21"/>
      <c r="P90" s="21"/>
      <c r="Q90" s="21"/>
      <c r="R90" s="24"/>
      <c r="S90" s="25">
        <f t="shared" si="6"/>
        <v>0</v>
      </c>
      <c r="T90" s="25">
        <f>IF(Table6[[#This Row],[Likely to take extension options (Y/N)?]]="Y",Table6[[#This Row],[Option to extend how many periods?]]+Table6[[#This Row],[Number of payments]],Table6[[#This Row],[Number of payments]])</f>
        <v>0</v>
      </c>
      <c r="U90" s="56">
        <f t="shared" si="7"/>
        <v>0</v>
      </c>
      <c r="V90" s="56">
        <f t="shared" si="8"/>
        <v>0</v>
      </c>
      <c r="W90" s="25">
        <v>1</v>
      </c>
      <c r="X90" s="57">
        <f t="shared" si="9"/>
        <v>0</v>
      </c>
    </row>
    <row r="91" spans="1:24" x14ac:dyDescent="0.2">
      <c r="A91" s="28">
        <v>83</v>
      </c>
      <c r="B91" s="19"/>
      <c r="C91" s="19"/>
      <c r="D91" s="20"/>
      <c r="E91" s="21"/>
      <c r="F91" s="20"/>
      <c r="G91" s="21"/>
      <c r="H91" s="19"/>
      <c r="I91" s="19"/>
      <c r="J91" s="22">
        <f t="shared" si="5"/>
        <v>0</v>
      </c>
      <c r="K91" s="23"/>
      <c r="L91" s="21"/>
      <c r="M91" s="21"/>
      <c r="N91" s="21"/>
      <c r="O91" s="21"/>
      <c r="P91" s="21"/>
      <c r="Q91" s="21"/>
      <c r="R91" s="24"/>
      <c r="S91" s="25">
        <f t="shared" si="6"/>
        <v>0</v>
      </c>
      <c r="T91" s="25">
        <f>IF(Table6[[#This Row],[Likely to take extension options (Y/N)?]]="Y",Table6[[#This Row],[Option to extend how many periods?]]+Table6[[#This Row],[Number of payments]],Table6[[#This Row],[Number of payments]])</f>
        <v>0</v>
      </c>
      <c r="U91" s="56">
        <f t="shared" si="7"/>
        <v>0</v>
      </c>
      <c r="V91" s="56">
        <f t="shared" si="8"/>
        <v>0</v>
      </c>
      <c r="W91" s="25">
        <v>1</v>
      </c>
      <c r="X91" s="57">
        <f t="shared" si="9"/>
        <v>0</v>
      </c>
    </row>
    <row r="92" spans="1:24" x14ac:dyDescent="0.2">
      <c r="A92" s="28">
        <v>84</v>
      </c>
      <c r="B92" s="19"/>
      <c r="C92" s="19"/>
      <c r="D92" s="20"/>
      <c r="E92" s="21"/>
      <c r="F92" s="20"/>
      <c r="G92" s="21"/>
      <c r="H92" s="19"/>
      <c r="I92" s="19"/>
      <c r="J92" s="22">
        <f t="shared" si="5"/>
        <v>0</v>
      </c>
      <c r="K92" s="23"/>
      <c r="L92" s="21"/>
      <c r="M92" s="21"/>
      <c r="N92" s="21"/>
      <c r="O92" s="21"/>
      <c r="P92" s="21"/>
      <c r="Q92" s="21"/>
      <c r="R92" s="24"/>
      <c r="S92" s="25">
        <f t="shared" si="6"/>
        <v>0</v>
      </c>
      <c r="T92" s="25">
        <f>IF(Table6[[#This Row],[Likely to take extension options (Y/N)?]]="Y",Table6[[#This Row],[Option to extend how many periods?]]+Table6[[#This Row],[Number of payments]],Table6[[#This Row],[Number of payments]])</f>
        <v>0</v>
      </c>
      <c r="U92" s="56">
        <f t="shared" si="7"/>
        <v>0</v>
      </c>
      <c r="V92" s="56">
        <f t="shared" si="8"/>
        <v>0</v>
      </c>
      <c r="W92" s="25">
        <v>1</v>
      </c>
      <c r="X92" s="57">
        <f t="shared" si="9"/>
        <v>0</v>
      </c>
    </row>
    <row r="93" spans="1:24" x14ac:dyDescent="0.2">
      <c r="A93" s="28">
        <v>85</v>
      </c>
      <c r="B93" s="19"/>
      <c r="C93" s="19"/>
      <c r="D93" s="20"/>
      <c r="E93" s="21"/>
      <c r="F93" s="20"/>
      <c r="G93" s="21"/>
      <c r="H93" s="19"/>
      <c r="I93" s="19"/>
      <c r="J93" s="22">
        <f t="shared" si="5"/>
        <v>0</v>
      </c>
      <c r="K93" s="23"/>
      <c r="L93" s="21"/>
      <c r="M93" s="21"/>
      <c r="N93" s="21"/>
      <c r="O93" s="21"/>
      <c r="P93" s="21"/>
      <c r="Q93" s="21"/>
      <c r="R93" s="24"/>
      <c r="S93" s="25">
        <f t="shared" si="6"/>
        <v>0</v>
      </c>
      <c r="T93" s="25">
        <f>IF(Table6[[#This Row],[Likely to take extension options (Y/N)?]]="Y",Table6[[#This Row],[Option to extend how many periods?]]+Table6[[#This Row],[Number of payments]],Table6[[#This Row],[Number of payments]])</f>
        <v>0</v>
      </c>
      <c r="U93" s="56">
        <f t="shared" si="7"/>
        <v>0</v>
      </c>
      <c r="V93" s="56">
        <f t="shared" si="8"/>
        <v>0</v>
      </c>
      <c r="W93" s="25">
        <v>1</v>
      </c>
      <c r="X93" s="57">
        <f t="shared" si="9"/>
        <v>0</v>
      </c>
    </row>
    <row r="94" spans="1:24" x14ac:dyDescent="0.2">
      <c r="A94" s="28">
        <v>86</v>
      </c>
      <c r="B94" s="19"/>
      <c r="C94" s="19"/>
      <c r="D94" s="20"/>
      <c r="E94" s="21"/>
      <c r="F94" s="20"/>
      <c r="G94" s="21"/>
      <c r="H94" s="19"/>
      <c r="I94" s="19"/>
      <c r="J94" s="22">
        <f t="shared" si="5"/>
        <v>0</v>
      </c>
      <c r="K94" s="23"/>
      <c r="L94" s="21"/>
      <c r="M94" s="21"/>
      <c r="N94" s="21"/>
      <c r="O94" s="21"/>
      <c r="P94" s="21"/>
      <c r="Q94" s="21"/>
      <c r="R94" s="24"/>
      <c r="S94" s="25">
        <f t="shared" si="6"/>
        <v>0</v>
      </c>
      <c r="T94" s="25">
        <f>IF(Table6[[#This Row],[Likely to take extension options (Y/N)?]]="Y",Table6[[#This Row],[Option to extend how many periods?]]+Table6[[#This Row],[Number of payments]],Table6[[#This Row],[Number of payments]])</f>
        <v>0</v>
      </c>
      <c r="U94" s="56">
        <f t="shared" si="7"/>
        <v>0</v>
      </c>
      <c r="V94" s="56">
        <f t="shared" si="8"/>
        <v>0</v>
      </c>
      <c r="W94" s="25">
        <v>1</v>
      </c>
      <c r="X94" s="57">
        <f t="shared" si="9"/>
        <v>0</v>
      </c>
    </row>
    <row r="95" spans="1:24" x14ac:dyDescent="0.2">
      <c r="A95" s="28">
        <v>87</v>
      </c>
      <c r="B95" s="19"/>
      <c r="C95" s="19"/>
      <c r="D95" s="20"/>
      <c r="E95" s="21"/>
      <c r="F95" s="20"/>
      <c r="G95" s="21"/>
      <c r="H95" s="19"/>
      <c r="I95" s="19"/>
      <c r="J95" s="22">
        <f t="shared" si="5"/>
        <v>0</v>
      </c>
      <c r="K95" s="23"/>
      <c r="L95" s="21"/>
      <c r="M95" s="21"/>
      <c r="N95" s="21"/>
      <c r="O95" s="21"/>
      <c r="P95" s="21"/>
      <c r="Q95" s="21"/>
      <c r="R95" s="24"/>
      <c r="S95" s="25">
        <f t="shared" si="6"/>
        <v>0</v>
      </c>
      <c r="T95" s="25">
        <f>IF(Table6[[#This Row],[Likely to take extension options (Y/N)?]]="Y",Table6[[#This Row],[Option to extend how many periods?]]+Table6[[#This Row],[Number of payments]],Table6[[#This Row],[Number of payments]])</f>
        <v>0</v>
      </c>
      <c r="U95" s="56">
        <f t="shared" si="7"/>
        <v>0</v>
      </c>
      <c r="V95" s="56">
        <f t="shared" si="8"/>
        <v>0</v>
      </c>
      <c r="W95" s="25">
        <v>1</v>
      </c>
      <c r="X95" s="57">
        <f t="shared" si="9"/>
        <v>0</v>
      </c>
    </row>
    <row r="96" spans="1:24" x14ac:dyDescent="0.2">
      <c r="A96" s="28">
        <v>88</v>
      </c>
      <c r="B96" s="19"/>
      <c r="C96" s="19"/>
      <c r="D96" s="20"/>
      <c r="E96" s="21"/>
      <c r="F96" s="20"/>
      <c r="G96" s="21"/>
      <c r="H96" s="19"/>
      <c r="I96" s="19"/>
      <c r="J96" s="22">
        <f t="shared" si="5"/>
        <v>0</v>
      </c>
      <c r="K96" s="23"/>
      <c r="L96" s="21"/>
      <c r="M96" s="21"/>
      <c r="N96" s="21"/>
      <c r="O96" s="21"/>
      <c r="P96" s="21"/>
      <c r="Q96" s="21"/>
      <c r="R96" s="24"/>
      <c r="S96" s="25">
        <f t="shared" si="6"/>
        <v>0</v>
      </c>
      <c r="T96" s="25">
        <f>IF(Table6[[#This Row],[Likely to take extension options (Y/N)?]]="Y",Table6[[#This Row],[Option to extend how many periods?]]+Table6[[#This Row],[Number of payments]],Table6[[#This Row],[Number of payments]])</f>
        <v>0</v>
      </c>
      <c r="U96" s="56">
        <f t="shared" si="7"/>
        <v>0</v>
      </c>
      <c r="V96" s="56">
        <f t="shared" si="8"/>
        <v>0</v>
      </c>
      <c r="W96" s="25">
        <v>1</v>
      </c>
      <c r="X96" s="57">
        <f t="shared" si="9"/>
        <v>0</v>
      </c>
    </row>
    <row r="97" spans="1:24" x14ac:dyDescent="0.2">
      <c r="A97" s="28">
        <v>89</v>
      </c>
      <c r="B97" s="19"/>
      <c r="C97" s="19"/>
      <c r="D97" s="20"/>
      <c r="E97" s="21"/>
      <c r="F97" s="20"/>
      <c r="G97" s="21"/>
      <c r="H97" s="19"/>
      <c r="I97" s="19"/>
      <c r="J97" s="22">
        <f t="shared" si="5"/>
        <v>0</v>
      </c>
      <c r="K97" s="23"/>
      <c r="L97" s="21"/>
      <c r="M97" s="21"/>
      <c r="N97" s="21"/>
      <c r="O97" s="21"/>
      <c r="P97" s="21"/>
      <c r="Q97" s="21"/>
      <c r="R97" s="24"/>
      <c r="S97" s="25">
        <f t="shared" si="6"/>
        <v>0</v>
      </c>
      <c r="T97" s="25">
        <f>IF(Table6[[#This Row],[Likely to take extension options (Y/N)?]]="Y",Table6[[#This Row],[Option to extend how many periods?]]+Table6[[#This Row],[Number of payments]],Table6[[#This Row],[Number of payments]])</f>
        <v>0</v>
      </c>
      <c r="U97" s="56">
        <f t="shared" si="7"/>
        <v>0</v>
      </c>
      <c r="V97" s="56">
        <f t="shared" si="8"/>
        <v>0</v>
      </c>
      <c r="W97" s="25">
        <v>1</v>
      </c>
      <c r="X97" s="57">
        <f t="shared" si="9"/>
        <v>0</v>
      </c>
    </row>
    <row r="98" spans="1:24" x14ac:dyDescent="0.2">
      <c r="A98" s="28">
        <v>90</v>
      </c>
      <c r="B98" s="19"/>
      <c r="C98" s="19"/>
      <c r="D98" s="20"/>
      <c r="E98" s="21"/>
      <c r="F98" s="20"/>
      <c r="G98" s="21"/>
      <c r="H98" s="19"/>
      <c r="I98" s="19"/>
      <c r="J98" s="22">
        <f t="shared" si="5"/>
        <v>0</v>
      </c>
      <c r="K98" s="23"/>
      <c r="L98" s="21"/>
      <c r="M98" s="21"/>
      <c r="N98" s="21"/>
      <c r="O98" s="21"/>
      <c r="P98" s="21"/>
      <c r="Q98" s="21"/>
      <c r="R98" s="24"/>
      <c r="S98" s="25">
        <f t="shared" si="6"/>
        <v>0</v>
      </c>
      <c r="T98" s="25">
        <f>IF(Table6[[#This Row],[Likely to take extension options (Y/N)?]]="Y",Table6[[#This Row],[Option to extend how many periods?]]+Table6[[#This Row],[Number of payments]],Table6[[#This Row],[Number of payments]])</f>
        <v>0</v>
      </c>
      <c r="U98" s="56">
        <f t="shared" si="7"/>
        <v>0</v>
      </c>
      <c r="V98" s="56">
        <f t="shared" si="8"/>
        <v>0</v>
      </c>
      <c r="W98" s="25">
        <v>1</v>
      </c>
      <c r="X98" s="57">
        <f t="shared" si="9"/>
        <v>0</v>
      </c>
    </row>
    <row r="99" spans="1:24" x14ac:dyDescent="0.2">
      <c r="A99" s="28">
        <v>91</v>
      </c>
      <c r="B99" s="19"/>
      <c r="C99" s="19"/>
      <c r="D99" s="20"/>
      <c r="E99" s="21"/>
      <c r="F99" s="20"/>
      <c r="G99" s="21"/>
      <c r="H99" s="19"/>
      <c r="I99" s="19"/>
      <c r="J99" s="22">
        <f t="shared" si="5"/>
        <v>0</v>
      </c>
      <c r="K99" s="23"/>
      <c r="L99" s="21"/>
      <c r="M99" s="21"/>
      <c r="N99" s="21"/>
      <c r="O99" s="21"/>
      <c r="P99" s="21"/>
      <c r="Q99" s="21"/>
      <c r="R99" s="24"/>
      <c r="S99" s="25">
        <f t="shared" si="6"/>
        <v>0</v>
      </c>
      <c r="T99" s="25">
        <f>IF(Table6[[#This Row],[Likely to take extension options (Y/N)?]]="Y",Table6[[#This Row],[Option to extend how many periods?]]+Table6[[#This Row],[Number of payments]],Table6[[#This Row],[Number of payments]])</f>
        <v>0</v>
      </c>
      <c r="U99" s="56">
        <f t="shared" si="7"/>
        <v>0</v>
      </c>
      <c r="V99" s="56">
        <f t="shared" si="8"/>
        <v>0</v>
      </c>
      <c r="W99" s="25">
        <v>1</v>
      </c>
      <c r="X99" s="57">
        <f t="shared" si="9"/>
        <v>0</v>
      </c>
    </row>
    <row r="100" spans="1:24" x14ac:dyDescent="0.2">
      <c r="A100" s="28">
        <v>92</v>
      </c>
      <c r="B100" s="19"/>
      <c r="C100" s="19"/>
      <c r="D100" s="20"/>
      <c r="E100" s="21"/>
      <c r="F100" s="20"/>
      <c r="G100" s="21"/>
      <c r="H100" s="19"/>
      <c r="I100" s="19"/>
      <c r="J100" s="22">
        <f t="shared" si="5"/>
        <v>0</v>
      </c>
      <c r="K100" s="23"/>
      <c r="L100" s="21"/>
      <c r="M100" s="21"/>
      <c r="N100" s="21"/>
      <c r="O100" s="21"/>
      <c r="P100" s="21"/>
      <c r="Q100" s="21"/>
      <c r="R100" s="24"/>
      <c r="S100" s="25">
        <f t="shared" si="6"/>
        <v>0</v>
      </c>
      <c r="T100" s="25">
        <f>IF(Table6[[#This Row],[Likely to take extension options (Y/N)?]]="Y",Table6[[#This Row],[Option to extend how many periods?]]+Table6[[#This Row],[Number of payments]],Table6[[#This Row],[Number of payments]])</f>
        <v>0</v>
      </c>
      <c r="U100" s="56">
        <f t="shared" si="7"/>
        <v>0</v>
      </c>
      <c r="V100" s="56">
        <f t="shared" si="8"/>
        <v>0</v>
      </c>
      <c r="W100" s="25">
        <v>1</v>
      </c>
      <c r="X100" s="57">
        <f t="shared" si="9"/>
        <v>0</v>
      </c>
    </row>
    <row r="101" spans="1:24" x14ac:dyDescent="0.2">
      <c r="A101" s="28">
        <v>93</v>
      </c>
      <c r="B101" s="19"/>
      <c r="C101" s="19"/>
      <c r="D101" s="20"/>
      <c r="E101" s="21"/>
      <c r="F101" s="20"/>
      <c r="G101" s="21"/>
      <c r="H101" s="19"/>
      <c r="I101" s="19"/>
      <c r="J101" s="22">
        <f t="shared" si="5"/>
        <v>0</v>
      </c>
      <c r="K101" s="23"/>
      <c r="L101" s="21"/>
      <c r="M101" s="21"/>
      <c r="N101" s="21"/>
      <c r="O101" s="21"/>
      <c r="P101" s="21"/>
      <c r="Q101" s="21"/>
      <c r="R101" s="24"/>
      <c r="S101" s="25">
        <f t="shared" si="6"/>
        <v>0</v>
      </c>
      <c r="T101" s="25">
        <f>IF(Table6[[#This Row],[Likely to take extension options (Y/N)?]]="Y",Table6[[#This Row],[Option to extend how many periods?]]+Table6[[#This Row],[Number of payments]],Table6[[#This Row],[Number of payments]])</f>
        <v>0</v>
      </c>
      <c r="U101" s="56">
        <f t="shared" si="7"/>
        <v>0</v>
      </c>
      <c r="V101" s="56">
        <f t="shared" si="8"/>
        <v>0</v>
      </c>
      <c r="W101" s="25">
        <v>1</v>
      </c>
      <c r="X101" s="57">
        <f t="shared" si="9"/>
        <v>0</v>
      </c>
    </row>
    <row r="102" spans="1:24" x14ac:dyDescent="0.2">
      <c r="A102" s="28">
        <v>94</v>
      </c>
      <c r="B102" s="19"/>
      <c r="C102" s="19"/>
      <c r="D102" s="20"/>
      <c r="E102" s="21"/>
      <c r="F102" s="20"/>
      <c r="G102" s="21"/>
      <c r="H102" s="19"/>
      <c r="I102" s="19"/>
      <c r="J102" s="22">
        <f t="shared" si="5"/>
        <v>0</v>
      </c>
      <c r="K102" s="23"/>
      <c r="L102" s="21"/>
      <c r="M102" s="21"/>
      <c r="N102" s="21"/>
      <c r="O102" s="21"/>
      <c r="P102" s="21"/>
      <c r="Q102" s="21"/>
      <c r="R102" s="24"/>
      <c r="S102" s="25">
        <f t="shared" si="6"/>
        <v>0</v>
      </c>
      <c r="T102" s="25">
        <f>IF(Table6[[#This Row],[Likely to take extension options (Y/N)?]]="Y",Table6[[#This Row],[Option to extend how many periods?]]+Table6[[#This Row],[Number of payments]],Table6[[#This Row],[Number of payments]])</f>
        <v>0</v>
      </c>
      <c r="U102" s="56">
        <f t="shared" si="7"/>
        <v>0</v>
      </c>
      <c r="V102" s="56">
        <f t="shared" si="8"/>
        <v>0</v>
      </c>
      <c r="W102" s="25">
        <v>1</v>
      </c>
      <c r="X102" s="57">
        <f t="shared" si="9"/>
        <v>0</v>
      </c>
    </row>
    <row r="103" spans="1:24" x14ac:dyDescent="0.2">
      <c r="A103" s="28">
        <v>95</v>
      </c>
      <c r="B103" s="19"/>
      <c r="C103" s="19"/>
      <c r="D103" s="20"/>
      <c r="E103" s="21"/>
      <c r="F103" s="20"/>
      <c r="G103" s="21"/>
      <c r="H103" s="19"/>
      <c r="I103" s="19"/>
      <c r="J103" s="22">
        <f t="shared" si="5"/>
        <v>0</v>
      </c>
      <c r="K103" s="23"/>
      <c r="L103" s="21"/>
      <c r="M103" s="21"/>
      <c r="N103" s="21"/>
      <c r="O103" s="21"/>
      <c r="P103" s="21"/>
      <c r="Q103" s="21"/>
      <c r="R103" s="24"/>
      <c r="S103" s="25">
        <f t="shared" si="6"/>
        <v>0</v>
      </c>
      <c r="T103" s="25">
        <f>IF(Table6[[#This Row],[Likely to take extension options (Y/N)?]]="Y",Table6[[#This Row],[Option to extend how many periods?]]+Table6[[#This Row],[Number of payments]],Table6[[#This Row],[Number of payments]])</f>
        <v>0</v>
      </c>
      <c r="U103" s="56">
        <f t="shared" si="7"/>
        <v>0</v>
      </c>
      <c r="V103" s="56">
        <f t="shared" si="8"/>
        <v>0</v>
      </c>
      <c r="W103" s="25">
        <v>1</v>
      </c>
      <c r="X103" s="57">
        <f t="shared" si="9"/>
        <v>0</v>
      </c>
    </row>
    <row r="104" spans="1:24" x14ac:dyDescent="0.2">
      <c r="A104" s="28">
        <v>96</v>
      </c>
      <c r="B104" s="19"/>
      <c r="C104" s="19"/>
      <c r="D104" s="20"/>
      <c r="E104" s="21"/>
      <c r="F104" s="20"/>
      <c r="G104" s="21"/>
      <c r="H104" s="19"/>
      <c r="I104" s="19"/>
      <c r="J104" s="22">
        <f t="shared" si="5"/>
        <v>0</v>
      </c>
      <c r="K104" s="23"/>
      <c r="L104" s="21"/>
      <c r="M104" s="21"/>
      <c r="N104" s="21"/>
      <c r="O104" s="21"/>
      <c r="P104" s="21"/>
      <c r="Q104" s="21"/>
      <c r="R104" s="24"/>
      <c r="S104" s="25">
        <f t="shared" si="6"/>
        <v>0</v>
      </c>
      <c r="T104" s="25">
        <f>IF(Table6[[#This Row],[Likely to take extension options (Y/N)?]]="Y",Table6[[#This Row],[Option to extend how many periods?]]+Table6[[#This Row],[Number of payments]],Table6[[#This Row],[Number of payments]])</f>
        <v>0</v>
      </c>
      <c r="U104" s="56">
        <f t="shared" si="7"/>
        <v>0</v>
      </c>
      <c r="V104" s="56">
        <f t="shared" si="8"/>
        <v>0</v>
      </c>
      <c r="W104" s="25">
        <v>1</v>
      </c>
      <c r="X104" s="57">
        <f t="shared" si="9"/>
        <v>0</v>
      </c>
    </row>
    <row r="105" spans="1:24" x14ac:dyDescent="0.2">
      <c r="A105" s="28">
        <v>97</v>
      </c>
      <c r="B105" s="19"/>
      <c r="C105" s="19"/>
      <c r="D105" s="20"/>
      <c r="E105" s="21"/>
      <c r="F105" s="20"/>
      <c r="G105" s="21"/>
      <c r="H105" s="19"/>
      <c r="I105" s="19"/>
      <c r="J105" s="22">
        <f t="shared" si="5"/>
        <v>0</v>
      </c>
      <c r="K105" s="23"/>
      <c r="L105" s="21"/>
      <c r="M105" s="21"/>
      <c r="N105" s="21"/>
      <c r="O105" s="21"/>
      <c r="P105" s="21"/>
      <c r="Q105" s="21"/>
      <c r="R105" s="24"/>
      <c r="S105" s="25">
        <f t="shared" si="6"/>
        <v>0</v>
      </c>
      <c r="T105" s="25">
        <f>IF(Table6[[#This Row],[Likely to take extension options (Y/N)?]]="Y",Table6[[#This Row],[Option to extend how many periods?]]+Table6[[#This Row],[Number of payments]],Table6[[#This Row],[Number of payments]])</f>
        <v>0</v>
      </c>
      <c r="U105" s="56">
        <f t="shared" si="7"/>
        <v>0</v>
      </c>
      <c r="V105" s="56">
        <f t="shared" si="8"/>
        <v>0</v>
      </c>
      <c r="W105" s="25">
        <v>1</v>
      </c>
      <c r="X105" s="57">
        <f t="shared" si="9"/>
        <v>0</v>
      </c>
    </row>
    <row r="106" spans="1:24" x14ac:dyDescent="0.2">
      <c r="A106" s="28">
        <v>98</v>
      </c>
      <c r="B106" s="19"/>
      <c r="C106" s="19"/>
      <c r="D106" s="20"/>
      <c r="E106" s="21"/>
      <c r="F106" s="20"/>
      <c r="G106" s="21"/>
      <c r="H106" s="19"/>
      <c r="I106" s="19"/>
      <c r="J106" s="22">
        <f t="shared" si="5"/>
        <v>0</v>
      </c>
      <c r="K106" s="23"/>
      <c r="L106" s="21"/>
      <c r="M106" s="21"/>
      <c r="N106" s="21"/>
      <c r="O106" s="21"/>
      <c r="P106" s="21"/>
      <c r="Q106" s="21"/>
      <c r="R106" s="24"/>
      <c r="S106" s="25">
        <f t="shared" si="6"/>
        <v>0</v>
      </c>
      <c r="T106" s="25">
        <f>IF(Table6[[#This Row],[Likely to take extension options (Y/N)?]]="Y",Table6[[#This Row],[Option to extend how many periods?]]+Table6[[#This Row],[Number of payments]],Table6[[#This Row],[Number of payments]])</f>
        <v>0</v>
      </c>
      <c r="U106" s="56">
        <f t="shared" si="7"/>
        <v>0</v>
      </c>
      <c r="V106" s="56">
        <f t="shared" si="8"/>
        <v>0</v>
      </c>
      <c r="W106" s="25">
        <v>1</v>
      </c>
      <c r="X106" s="57">
        <f t="shared" si="9"/>
        <v>0</v>
      </c>
    </row>
    <row r="107" spans="1:24" x14ac:dyDescent="0.2">
      <c r="A107" s="28">
        <v>99</v>
      </c>
      <c r="B107" s="19"/>
      <c r="C107" s="19"/>
      <c r="D107" s="20"/>
      <c r="E107" s="21"/>
      <c r="F107" s="20"/>
      <c r="G107" s="21"/>
      <c r="H107" s="19"/>
      <c r="I107" s="19"/>
      <c r="J107" s="22">
        <f t="shared" si="5"/>
        <v>0</v>
      </c>
      <c r="K107" s="23"/>
      <c r="L107" s="21"/>
      <c r="M107" s="21"/>
      <c r="N107" s="21"/>
      <c r="O107" s="21"/>
      <c r="P107" s="21"/>
      <c r="Q107" s="21"/>
      <c r="R107" s="24"/>
      <c r="S107" s="25">
        <f t="shared" si="6"/>
        <v>0</v>
      </c>
      <c r="T107" s="25">
        <f>IF(Table6[[#This Row],[Likely to take extension options (Y/N)?]]="Y",Table6[[#This Row],[Option to extend how many periods?]]+Table6[[#This Row],[Number of payments]],Table6[[#This Row],[Number of payments]])</f>
        <v>0</v>
      </c>
      <c r="U107" s="56">
        <f t="shared" si="7"/>
        <v>0</v>
      </c>
      <c r="V107" s="56">
        <f t="shared" si="8"/>
        <v>0</v>
      </c>
      <c r="W107" s="25">
        <v>1</v>
      </c>
      <c r="X107" s="57">
        <f t="shared" si="9"/>
        <v>0</v>
      </c>
    </row>
    <row r="108" spans="1:24" ht="15" thickBot="1" x14ac:dyDescent="0.25">
      <c r="A108" s="37">
        <v>100</v>
      </c>
      <c r="B108" s="38"/>
      <c r="C108" s="38"/>
      <c r="D108" s="39"/>
      <c r="E108" s="40"/>
      <c r="F108" s="39"/>
      <c r="G108" s="40"/>
      <c r="H108" s="38"/>
      <c r="I108" s="38"/>
      <c r="J108" s="41">
        <f t="shared" si="5"/>
        <v>0</v>
      </c>
      <c r="K108" s="42"/>
      <c r="L108" s="40"/>
      <c r="M108" s="40"/>
      <c r="N108" s="40"/>
      <c r="O108" s="40"/>
      <c r="P108" s="40"/>
      <c r="Q108" s="40"/>
      <c r="R108" s="26"/>
      <c r="S108" s="27">
        <f t="shared" si="6"/>
        <v>0</v>
      </c>
      <c r="T108" s="27">
        <f>IF(Table6[[#This Row],[Likely to take extension options (Y/N)?]]="Y",Table6[[#This Row],[Option to extend how many periods?]]+Table6[[#This Row],[Number of payments]],Table6[[#This Row],[Number of payments]])</f>
        <v>0</v>
      </c>
      <c r="U108" s="58">
        <f t="shared" si="7"/>
        <v>0</v>
      </c>
      <c r="V108" s="58">
        <f t="shared" si="8"/>
        <v>0</v>
      </c>
      <c r="W108" s="27">
        <v>1</v>
      </c>
      <c r="X108" s="59">
        <f t="shared" si="9"/>
        <v>0</v>
      </c>
    </row>
  </sheetData>
  <mergeCells count="8">
    <mergeCell ref="S5:X5"/>
    <mergeCell ref="M5:P5"/>
    <mergeCell ref="Y5:Y6"/>
    <mergeCell ref="A1:B1"/>
    <mergeCell ref="C1:H1"/>
    <mergeCell ref="S2:W2"/>
    <mergeCell ref="D5:L5"/>
    <mergeCell ref="S3:W3"/>
  </mergeCells>
  <pageMargins left="0.45" right="0.2" top="0.5" bottom="0.5" header="0.3" footer="0.3"/>
  <pageSetup scale="65" orientation="landscape" r:id="rId1"/>
  <colBreaks count="2" manualBreakCount="2">
    <brk id="12" max="1048575" man="1"/>
    <brk id="17" max="1048575" man="1"/>
  </col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E43A-3E7F-43CE-A737-6A441E79FAF0}">
  <dimension ref="B1:AE179"/>
  <sheetViews>
    <sheetView showGridLines="0" topLeftCell="A112" workbookViewId="0">
      <selection activeCell="L4" sqref="L4"/>
    </sheetView>
  </sheetViews>
  <sheetFormatPr defaultColWidth="9.140625" defaultRowHeight="14.25" x14ac:dyDescent="0.2"/>
  <cols>
    <col min="1" max="1" width="1.7109375" style="1" customWidth="1"/>
    <col min="2" max="2" width="28.5703125" style="1" customWidth="1"/>
    <col min="3" max="3" width="21.5703125" style="1" bestFit="1" customWidth="1"/>
    <col min="4" max="4" width="1.7109375" style="1" customWidth="1"/>
    <col min="5" max="5" width="14" style="1" bestFit="1" customWidth="1"/>
    <col min="6" max="6" width="23.7109375" style="1" bestFit="1" customWidth="1"/>
    <col min="7" max="7" width="1.7109375" style="1" customWidth="1"/>
    <col min="8" max="8" width="21.5703125" style="1" bestFit="1" customWidth="1"/>
    <col min="9" max="9" width="9.140625" style="1"/>
    <col min="10" max="10" width="7.85546875" style="1" bestFit="1" customWidth="1"/>
    <col min="11" max="11" width="9.140625" style="1"/>
    <col min="12" max="12" width="19.5703125" style="1" bestFit="1" customWidth="1"/>
    <col min="13" max="13" width="12" style="1" customWidth="1"/>
    <col min="14" max="14" width="16" style="1" bestFit="1" customWidth="1"/>
    <col min="15" max="15" width="12.85546875" style="1" bestFit="1" customWidth="1"/>
    <col min="16" max="16" width="9.140625" style="1"/>
    <col min="17" max="17" width="12.7109375" style="1" bestFit="1" customWidth="1"/>
    <col min="18" max="19" width="12.140625" style="1" customWidth="1"/>
    <col min="20" max="20" width="1.7109375" style="109" customWidth="1"/>
    <col min="21" max="21" width="9.140625" style="1"/>
    <col min="22" max="22" width="12" style="1" bestFit="1" customWidth="1"/>
    <col min="23" max="23" width="11.5703125" style="1" bestFit="1" customWidth="1"/>
    <col min="24" max="24" width="11.140625" style="1" bestFit="1" customWidth="1"/>
    <col min="25" max="25" width="12.140625" style="1" bestFit="1" customWidth="1"/>
    <col min="26" max="26" width="14.7109375" style="1" bestFit="1" customWidth="1"/>
    <col min="27" max="27" width="9.140625" style="1"/>
    <col min="28" max="28" width="14.7109375" style="1" bestFit="1" customWidth="1"/>
    <col min="29" max="29" width="12.7109375" style="1" bestFit="1" customWidth="1"/>
    <col min="30" max="30" width="9.5703125" style="1" bestFit="1" customWidth="1"/>
    <col min="31" max="16384" width="9.140625" style="1"/>
  </cols>
  <sheetData>
    <row r="1" spans="2:30" ht="26.25" x14ac:dyDescent="0.4">
      <c r="B1" s="105" t="s">
        <v>64</v>
      </c>
      <c r="C1" s="105"/>
      <c r="D1" s="105"/>
      <c r="E1" s="105"/>
      <c r="F1" s="105"/>
      <c r="G1" s="105"/>
      <c r="H1" s="105"/>
      <c r="I1" s="105"/>
      <c r="J1" s="105"/>
    </row>
    <row r="2" spans="2:30" ht="15.75" thickBot="1" x14ac:dyDescent="0.3">
      <c r="J2" s="70" t="s">
        <v>40</v>
      </c>
    </row>
    <row r="3" spans="2:30" ht="15.75" thickBot="1" x14ac:dyDescent="0.3">
      <c r="B3" s="71" t="str">
        <f>Table6[[#Headers],[Item '#]]</f>
        <v>Item #</v>
      </c>
      <c r="C3" s="72">
        <f>'Lessor Summary by (department)'!A7</f>
        <v>0</v>
      </c>
      <c r="E3" s="100" t="s">
        <v>65</v>
      </c>
      <c r="F3" s="101">
        <f>'Lessor Summary by (department)'!T7</f>
        <v>60</v>
      </c>
      <c r="H3" s="87" t="s">
        <v>39</v>
      </c>
      <c r="I3" s="89" t="s">
        <v>26</v>
      </c>
      <c r="J3" s="88">
        <v>100</v>
      </c>
      <c r="L3" s="170" t="s">
        <v>146</v>
      </c>
      <c r="M3" s="171"/>
      <c r="N3" s="171"/>
      <c r="O3" s="172"/>
      <c r="U3" s="170" t="s">
        <v>95</v>
      </c>
      <c r="V3" s="171"/>
      <c r="W3" s="171"/>
      <c r="X3" s="171"/>
      <c r="Y3" s="171"/>
      <c r="Z3" s="172"/>
    </row>
    <row r="4" spans="2:30" ht="15.75" thickBot="1" x14ac:dyDescent="0.3">
      <c r="B4" s="71" t="str">
        <f>Table6[[#Headers],[Lease Description]]</f>
        <v>Lease Description</v>
      </c>
      <c r="C4" s="72" t="str">
        <f>'Lessor Summary by (department)'!B7</f>
        <v>example truck lease (OLD)</v>
      </c>
      <c r="H4" s="87" t="s">
        <v>38</v>
      </c>
      <c r="I4" s="147"/>
      <c r="J4" s="88"/>
      <c r="L4" s="103" t="s">
        <v>46</v>
      </c>
      <c r="M4" s="103" t="s">
        <v>47</v>
      </c>
      <c r="N4" s="1" t="s">
        <v>48</v>
      </c>
      <c r="O4" s="102" t="s">
        <v>49</v>
      </c>
      <c r="U4" s="103" t="s">
        <v>46</v>
      </c>
      <c r="V4" s="103" t="s">
        <v>47</v>
      </c>
      <c r="W4" s="1" t="s">
        <v>60</v>
      </c>
      <c r="X4" s="1" t="s">
        <v>61</v>
      </c>
      <c r="Y4" s="1" t="s">
        <v>62</v>
      </c>
      <c r="Z4" s="102" t="s">
        <v>49</v>
      </c>
    </row>
    <row r="5" spans="2:30" ht="15.75" thickBot="1" x14ac:dyDescent="0.3">
      <c r="L5" s="104" t="s">
        <v>44</v>
      </c>
      <c r="M5" s="103"/>
      <c r="O5" s="102">
        <f>F9</f>
        <v>57513.226792587302</v>
      </c>
      <c r="U5" s="104" t="s">
        <v>44</v>
      </c>
      <c r="V5" s="103"/>
      <c r="Y5" s="73">
        <f>Table810[[#This Row],[Payment]]-Table810[[#This Row],[Interest]]</f>
        <v>0</v>
      </c>
      <c r="Z5" s="102">
        <f>F9</f>
        <v>57513.226792587302</v>
      </c>
    </row>
    <row r="6" spans="2:30" x14ac:dyDescent="0.2">
      <c r="B6" s="16"/>
      <c r="C6" s="17"/>
      <c r="D6" s="90"/>
      <c r="E6" s="17"/>
      <c r="F6" s="75"/>
      <c r="L6" s="1">
        <v>1</v>
      </c>
      <c r="M6" s="3">
        <f>'Lessor Summary by (department)'!F7</f>
        <v>42979</v>
      </c>
      <c r="N6" s="73">
        <f>O5/F3</f>
        <v>958.553779876455</v>
      </c>
      <c r="O6" s="73">
        <f>O5-N6</f>
        <v>56554.673012710846</v>
      </c>
      <c r="Q6" s="3"/>
      <c r="U6" s="1">
        <v>1</v>
      </c>
      <c r="V6" s="3">
        <v>42979</v>
      </c>
      <c r="W6" s="73">
        <f>'Lessor Summary by (department)'!G7</f>
        <v>1000</v>
      </c>
      <c r="X6" s="73">
        <v>0</v>
      </c>
      <c r="Y6" s="73">
        <f>Table810[[#This Row],[Payment]]-Table810[[#This Row],[Interest]]</f>
        <v>1000</v>
      </c>
      <c r="Z6" s="73">
        <f>Z5-Y6</f>
        <v>56513.226792587302</v>
      </c>
    </row>
    <row r="7" spans="2:30" ht="15" x14ac:dyDescent="0.25">
      <c r="B7" s="173" t="s">
        <v>37</v>
      </c>
      <c r="C7" s="174"/>
      <c r="D7" s="91"/>
      <c r="E7" s="174" t="s">
        <v>122</v>
      </c>
      <c r="F7" s="175"/>
      <c r="L7" s="1">
        <v>2</v>
      </c>
      <c r="M7" s="3">
        <v>43009</v>
      </c>
      <c r="N7" s="73">
        <f>N6</f>
        <v>958.553779876455</v>
      </c>
      <c r="O7" s="73">
        <f t="shared" ref="O7:O65" si="0">O6-N7</f>
        <v>55596.11923283439</v>
      </c>
      <c r="U7" s="1">
        <v>2</v>
      </c>
      <c r="V7" s="3">
        <v>43009</v>
      </c>
      <c r="W7" s="73">
        <f>W6</f>
        <v>1000</v>
      </c>
      <c r="X7" s="73">
        <f>Z6*'Lessor Summary by (department)'!$S$7</f>
        <v>141.28306698146827</v>
      </c>
      <c r="Y7" s="73">
        <f>Table810[[#This Row],[Payment]]-Table810[[#This Row],[Interest]]</f>
        <v>858.71693301853179</v>
      </c>
      <c r="Z7" s="73">
        <f t="shared" ref="Z7:Z65" si="1">Z6-Y7</f>
        <v>55654.509859568767</v>
      </c>
    </row>
    <row r="8" spans="2:30" x14ac:dyDescent="0.2">
      <c r="B8" s="76"/>
      <c r="C8" s="68"/>
      <c r="D8" s="91"/>
      <c r="E8" s="68"/>
      <c r="F8" s="77"/>
      <c r="L8" s="1">
        <v>3</v>
      </c>
      <c r="M8" s="3">
        <v>43040</v>
      </c>
      <c r="N8" s="73">
        <f t="shared" ref="N8:N65" si="2">N7</f>
        <v>958.553779876455</v>
      </c>
      <c r="O8" s="73">
        <f t="shared" si="0"/>
        <v>54637.565452957933</v>
      </c>
      <c r="U8" s="1">
        <v>3</v>
      </c>
      <c r="V8" s="3">
        <v>43040</v>
      </c>
      <c r="W8" s="73">
        <f t="shared" ref="W8:W64" si="3">W7</f>
        <v>1000</v>
      </c>
      <c r="X8" s="73">
        <f>Z7*'Lessor Summary by (department)'!$S$7</f>
        <v>139.13627464892193</v>
      </c>
      <c r="Y8" s="73">
        <f>Table810[[#This Row],[Payment]]-Table810[[#This Row],[Interest]]</f>
        <v>860.86372535107807</v>
      </c>
      <c r="Z8" s="73">
        <f t="shared" si="1"/>
        <v>54793.646134217692</v>
      </c>
    </row>
    <row r="9" spans="2:30" x14ac:dyDescent="0.2">
      <c r="B9" s="78" t="s">
        <v>121</v>
      </c>
      <c r="C9" s="79">
        <f>ABS('Lessor Summary by (department)'!X7)</f>
        <v>57513.226792587302</v>
      </c>
      <c r="D9" s="91"/>
      <c r="E9" s="80" t="s">
        <v>128</v>
      </c>
      <c r="F9" s="81">
        <f>'Lessor Summary by (department)'!X7*-1</f>
        <v>57513.226792587302</v>
      </c>
      <c r="L9" s="1">
        <v>4</v>
      </c>
      <c r="M9" s="3">
        <v>43070</v>
      </c>
      <c r="N9" s="73">
        <f t="shared" si="2"/>
        <v>958.553779876455</v>
      </c>
      <c r="O9" s="73">
        <f t="shared" si="0"/>
        <v>53679.011673081477</v>
      </c>
      <c r="U9" s="1">
        <v>4</v>
      </c>
      <c r="V9" s="3">
        <v>43070</v>
      </c>
      <c r="W9" s="73">
        <f t="shared" si="3"/>
        <v>1000</v>
      </c>
      <c r="X9" s="73">
        <f>Z8*'Lessor Summary by (department)'!$S$7</f>
        <v>136.98411533554423</v>
      </c>
      <c r="Y9" s="73">
        <f>Table810[[#This Row],[Payment]]-Table810[[#This Row],[Interest]]</f>
        <v>863.01588466445583</v>
      </c>
      <c r="Z9" s="73">
        <f t="shared" si="1"/>
        <v>53930.630249553236</v>
      </c>
    </row>
    <row r="10" spans="2:30" x14ac:dyDescent="0.2">
      <c r="B10" s="78" t="s">
        <v>127</v>
      </c>
      <c r="C10" s="82">
        <f>'Lessor Summary by (department)'!E7</f>
        <v>2500</v>
      </c>
      <c r="D10" s="91"/>
      <c r="E10" s="78"/>
      <c r="F10" s="150"/>
      <c r="L10" s="1">
        <v>5</v>
      </c>
      <c r="M10" s="3">
        <v>43101</v>
      </c>
      <c r="N10" s="73">
        <f t="shared" si="2"/>
        <v>958.553779876455</v>
      </c>
      <c r="O10" s="73">
        <f t="shared" si="0"/>
        <v>52720.457893205021</v>
      </c>
      <c r="U10" s="1">
        <v>5</v>
      </c>
      <c r="V10" s="3">
        <v>43101</v>
      </c>
      <c r="W10" s="73">
        <f t="shared" si="3"/>
        <v>1000</v>
      </c>
      <c r="X10" s="73">
        <f>Z9*'Lessor Summary by (department)'!$S$7</f>
        <v>134.82657562388309</v>
      </c>
      <c r="Y10" s="73">
        <f>Table810[[#This Row],[Payment]]-Table810[[#This Row],[Interest]]</f>
        <v>865.17342437611694</v>
      </c>
      <c r="Z10" s="73">
        <f t="shared" si="1"/>
        <v>53065.45682517712</v>
      </c>
    </row>
    <row r="11" spans="2:30" x14ac:dyDescent="0.2">
      <c r="B11" s="78"/>
      <c r="C11" s="83"/>
      <c r="D11" s="91"/>
      <c r="E11" s="68"/>
      <c r="F11" s="77"/>
      <c r="L11" s="1">
        <v>6</v>
      </c>
      <c r="M11" s="3">
        <v>43132</v>
      </c>
      <c r="N11" s="73">
        <f t="shared" si="2"/>
        <v>958.553779876455</v>
      </c>
      <c r="O11" s="73">
        <f t="shared" si="0"/>
        <v>51761.904113328565</v>
      </c>
      <c r="U11" s="1">
        <v>6</v>
      </c>
      <c r="V11" s="3">
        <v>43132</v>
      </c>
      <c r="W11" s="73">
        <f t="shared" si="3"/>
        <v>1000</v>
      </c>
      <c r="X11" s="73">
        <f>Z10*'Lessor Summary by (department)'!$S$7</f>
        <v>132.66364206294281</v>
      </c>
      <c r="Y11" s="73">
        <f>Table810[[#This Row],[Payment]]-Table810[[#This Row],[Interest]]</f>
        <v>867.33635793705719</v>
      </c>
      <c r="Z11" s="73">
        <f t="shared" si="1"/>
        <v>52198.120467240064</v>
      </c>
    </row>
    <row r="12" spans="2:30" x14ac:dyDescent="0.2">
      <c r="B12" s="78" t="s">
        <v>123</v>
      </c>
      <c r="C12" s="79">
        <f>SUM(C9:C11)</f>
        <v>60013.226792587302</v>
      </c>
      <c r="D12" s="91"/>
      <c r="E12" s="68"/>
      <c r="F12" s="77"/>
      <c r="L12" s="1">
        <v>7</v>
      </c>
      <c r="M12" s="3">
        <v>43160</v>
      </c>
      <c r="N12" s="73">
        <f t="shared" si="2"/>
        <v>958.553779876455</v>
      </c>
      <c r="O12" s="73">
        <f t="shared" si="0"/>
        <v>50803.350333452108</v>
      </c>
      <c r="U12" s="1">
        <v>7</v>
      </c>
      <c r="V12" s="3">
        <v>43160</v>
      </c>
      <c r="W12" s="73">
        <f t="shared" si="3"/>
        <v>1000</v>
      </c>
      <c r="X12" s="73">
        <f>Z11*'Lessor Summary by (department)'!$S$7</f>
        <v>130.49530116810016</v>
      </c>
      <c r="Y12" s="73">
        <f>Table810[[#This Row],[Payment]]-Table810[[#This Row],[Interest]]</f>
        <v>869.50469883189987</v>
      </c>
      <c r="Z12" s="73">
        <f t="shared" si="1"/>
        <v>51328.615768408163</v>
      </c>
    </row>
    <row r="13" spans="2:30" ht="15" thickBot="1" x14ac:dyDescent="0.25">
      <c r="B13" s="84"/>
      <c r="C13" s="85"/>
      <c r="D13" s="92"/>
      <c r="E13" s="85"/>
      <c r="F13" s="86"/>
      <c r="L13" s="1">
        <v>8</v>
      </c>
      <c r="M13" s="3">
        <v>43191</v>
      </c>
      <c r="N13" s="73">
        <f t="shared" si="2"/>
        <v>958.553779876455</v>
      </c>
      <c r="O13" s="73">
        <f t="shared" si="0"/>
        <v>49844.796553575652</v>
      </c>
      <c r="U13" s="1">
        <v>8</v>
      </c>
      <c r="V13" s="3">
        <v>43191</v>
      </c>
      <c r="W13" s="73">
        <f t="shared" si="3"/>
        <v>1000</v>
      </c>
      <c r="X13" s="73">
        <f>Z12*'Lessor Summary by (department)'!$S$7</f>
        <v>128.32153942102042</v>
      </c>
      <c r="Y13" s="73">
        <f>Table810[[#This Row],[Payment]]-Table810[[#This Row],[Interest]]</f>
        <v>871.67846057897964</v>
      </c>
      <c r="Z13" s="73">
        <f t="shared" si="1"/>
        <v>50456.937307829183</v>
      </c>
    </row>
    <row r="14" spans="2:30" x14ac:dyDescent="0.2">
      <c r="L14" s="1">
        <v>9</v>
      </c>
      <c r="M14" s="3">
        <v>43221</v>
      </c>
      <c r="N14" s="73">
        <f t="shared" si="2"/>
        <v>958.553779876455</v>
      </c>
      <c r="O14" s="73">
        <f t="shared" si="0"/>
        <v>48886.242773699196</v>
      </c>
      <c r="U14" s="1">
        <v>9</v>
      </c>
      <c r="V14" s="3">
        <v>43221</v>
      </c>
      <c r="W14" s="73">
        <f t="shared" si="3"/>
        <v>1000</v>
      </c>
      <c r="X14" s="73">
        <f>Z13*'Lessor Summary by (department)'!$S$7</f>
        <v>126.14234326957296</v>
      </c>
      <c r="Y14" s="73">
        <f>Table810[[#This Row],[Payment]]-Table810[[#This Row],[Interest]]</f>
        <v>873.85765673042704</v>
      </c>
      <c r="Z14" s="73">
        <f t="shared" si="1"/>
        <v>49583.079651098757</v>
      </c>
    </row>
    <row r="15" spans="2:30" ht="20.25" thickBot="1" x14ac:dyDescent="0.35">
      <c r="B15" s="176" t="s">
        <v>126</v>
      </c>
      <c r="C15" s="176"/>
      <c r="D15" s="176"/>
      <c r="E15" s="176"/>
      <c r="F15" s="176"/>
      <c r="L15" s="1">
        <v>10</v>
      </c>
      <c r="M15" s="3">
        <v>43252</v>
      </c>
      <c r="N15" s="73">
        <f t="shared" si="2"/>
        <v>958.553779876455</v>
      </c>
      <c r="O15" s="73">
        <f t="shared" si="0"/>
        <v>47927.68899382274</v>
      </c>
      <c r="Q15" s="74">
        <f>SUM(N6:N15)</f>
        <v>9585.5377987645497</v>
      </c>
      <c r="R15" s="6" t="s">
        <v>50</v>
      </c>
      <c r="S15" s="6"/>
      <c r="U15" s="1">
        <v>10</v>
      </c>
      <c r="V15" s="3">
        <v>43252</v>
      </c>
      <c r="W15" s="73">
        <f t="shared" si="3"/>
        <v>1000</v>
      </c>
      <c r="X15" s="73">
        <f>Z14*'Lessor Summary by (department)'!$S$7</f>
        <v>123.95769912774689</v>
      </c>
      <c r="Y15" s="73">
        <f>Table810[[#This Row],[Payment]]-Table810[[#This Row],[Interest]]</f>
        <v>876.04230087225312</v>
      </c>
      <c r="Z15" s="73">
        <f t="shared" si="1"/>
        <v>48707.037350226507</v>
      </c>
      <c r="AB15" s="74">
        <f>SUM(Y6:Y15)</f>
        <v>8806.1894423607991</v>
      </c>
      <c r="AC15" s="6" t="s">
        <v>50</v>
      </c>
      <c r="AD15" s="6"/>
    </row>
    <row r="16" spans="2:30" ht="15.75" thickTop="1" thickBot="1" x14ac:dyDescent="0.25">
      <c r="L16" s="1">
        <v>11</v>
      </c>
      <c r="M16" s="3">
        <v>43282</v>
      </c>
      <c r="N16" s="73">
        <f t="shared" si="2"/>
        <v>958.553779876455</v>
      </c>
      <c r="O16" s="73">
        <f t="shared" si="0"/>
        <v>46969.135213946283</v>
      </c>
      <c r="Q16" s="6"/>
      <c r="R16" s="6"/>
      <c r="S16" s="6"/>
      <c r="U16" s="1">
        <v>11</v>
      </c>
      <c r="V16" s="3">
        <v>43282</v>
      </c>
      <c r="W16" s="73">
        <f t="shared" si="3"/>
        <v>1000</v>
      </c>
      <c r="X16" s="73">
        <f>Z15*'Lessor Summary by (department)'!$S$7</f>
        <v>121.76759337556626</v>
      </c>
      <c r="Y16" s="73">
        <f>Table810[[#This Row],[Payment]]-Table810[[#This Row],[Interest]]</f>
        <v>878.23240662443368</v>
      </c>
      <c r="Z16" s="73">
        <f t="shared" si="1"/>
        <v>47828.804943602074</v>
      </c>
      <c r="AB16" s="6"/>
      <c r="AC16" s="6"/>
      <c r="AD16" s="6"/>
    </row>
    <row r="17" spans="2:30" ht="15" customHeight="1" x14ac:dyDescent="0.25">
      <c r="B17" s="165" t="s">
        <v>56</v>
      </c>
      <c r="C17" s="94" t="s">
        <v>42</v>
      </c>
      <c r="D17" s="93"/>
      <c r="E17" s="94" t="s">
        <v>43</v>
      </c>
      <c r="F17" s="75"/>
      <c r="H17" s="177" t="s">
        <v>134</v>
      </c>
      <c r="L17" s="1">
        <v>12</v>
      </c>
      <c r="M17" s="3">
        <v>43313</v>
      </c>
      <c r="N17" s="73">
        <f t="shared" si="2"/>
        <v>958.553779876455</v>
      </c>
      <c r="O17" s="73">
        <f t="shared" si="0"/>
        <v>46010.581434069827</v>
      </c>
      <c r="Q17" s="6"/>
      <c r="R17" s="6"/>
      <c r="S17" s="6"/>
      <c r="U17" s="1">
        <v>12</v>
      </c>
      <c r="V17" s="3">
        <v>43313</v>
      </c>
      <c r="W17" s="73">
        <f t="shared" si="3"/>
        <v>1000</v>
      </c>
      <c r="X17" s="73">
        <f>Z16*'Lessor Summary by (department)'!$S$7</f>
        <v>119.57201235900519</v>
      </c>
      <c r="Y17" s="73">
        <f>Table810[[#This Row],[Payment]]-Table810[[#This Row],[Interest]]</f>
        <v>880.42798764099484</v>
      </c>
      <c r="Z17" s="73">
        <f t="shared" si="1"/>
        <v>46948.376955961081</v>
      </c>
      <c r="AB17" s="6"/>
      <c r="AC17" s="6"/>
      <c r="AD17" s="6"/>
    </row>
    <row r="18" spans="2:30" x14ac:dyDescent="0.2">
      <c r="B18" s="166"/>
      <c r="C18" s="83"/>
      <c r="D18" s="91"/>
      <c r="E18" s="83"/>
      <c r="F18" s="77"/>
      <c r="H18" s="177"/>
      <c r="L18" s="1">
        <v>13</v>
      </c>
      <c r="M18" s="3">
        <v>43344</v>
      </c>
      <c r="N18" s="73">
        <f t="shared" si="2"/>
        <v>958.553779876455</v>
      </c>
      <c r="O18" s="73">
        <f t="shared" si="0"/>
        <v>45052.027654193371</v>
      </c>
      <c r="Q18" s="6"/>
      <c r="R18" s="6"/>
      <c r="S18" s="6"/>
      <c r="U18" s="1">
        <v>13</v>
      </c>
      <c r="V18" s="3">
        <v>43344</v>
      </c>
      <c r="W18" s="73">
        <f t="shared" si="3"/>
        <v>1000</v>
      </c>
      <c r="X18" s="73">
        <f>Z17*'Lessor Summary by (department)'!$S$7</f>
        <v>117.37094238990271</v>
      </c>
      <c r="Y18" s="73">
        <f>Table810[[#This Row],[Payment]]-Table810[[#This Row],[Interest]]</f>
        <v>882.62905761009733</v>
      </c>
      <c r="Z18" s="73">
        <f t="shared" si="1"/>
        <v>46065.747898350986</v>
      </c>
      <c r="AB18" s="6"/>
      <c r="AC18" s="6"/>
      <c r="AD18" s="6"/>
    </row>
    <row r="19" spans="2:30" x14ac:dyDescent="0.2">
      <c r="B19" s="99" t="s">
        <v>45</v>
      </c>
      <c r="C19" s="97">
        <f>E21</f>
        <v>61800</v>
      </c>
      <c r="D19" s="98"/>
      <c r="E19" s="25"/>
      <c r="F19" s="77" t="s">
        <v>124</v>
      </c>
      <c r="H19" s="177"/>
      <c r="L19" s="1">
        <v>14</v>
      </c>
      <c r="M19" s="3">
        <v>43374</v>
      </c>
      <c r="N19" s="73">
        <f t="shared" si="2"/>
        <v>958.553779876455</v>
      </c>
      <c r="O19" s="73">
        <f t="shared" si="0"/>
        <v>44093.473874316915</v>
      </c>
      <c r="Q19" s="6"/>
      <c r="R19" s="6"/>
      <c r="S19" s="6"/>
      <c r="U19" s="1">
        <v>14</v>
      </c>
      <c r="V19" s="3">
        <v>43374</v>
      </c>
      <c r="W19" s="73">
        <f t="shared" si="3"/>
        <v>1000</v>
      </c>
      <c r="X19" s="73">
        <f>Z18*'Lessor Summary by (department)'!$S$7</f>
        <v>115.16436974587747</v>
      </c>
      <c r="Y19" s="73">
        <f>Table810[[#This Row],[Payment]]-Table810[[#This Row],[Interest]]</f>
        <v>884.83563025412252</v>
      </c>
      <c r="Z19" s="73">
        <f t="shared" si="1"/>
        <v>45180.912268096865</v>
      </c>
      <c r="AB19" s="6"/>
      <c r="AC19" s="6"/>
      <c r="AD19" s="6"/>
    </row>
    <row r="20" spans="2:30" x14ac:dyDescent="0.2">
      <c r="B20" s="99"/>
      <c r="C20" s="107"/>
      <c r="D20" s="98"/>
      <c r="E20" s="97"/>
      <c r="F20" s="77"/>
      <c r="H20" s="177"/>
      <c r="L20" s="1">
        <v>15</v>
      </c>
      <c r="M20" s="3">
        <v>43405</v>
      </c>
      <c r="N20" s="73">
        <f t="shared" si="2"/>
        <v>958.553779876455</v>
      </c>
      <c r="O20" s="73">
        <f t="shared" si="0"/>
        <v>43134.920094440458</v>
      </c>
      <c r="Q20" s="6"/>
      <c r="R20" s="6"/>
      <c r="S20" s="6"/>
      <c r="U20" s="1">
        <v>15</v>
      </c>
      <c r="V20" s="3">
        <v>43405</v>
      </c>
      <c r="W20" s="73">
        <f t="shared" si="3"/>
        <v>1000</v>
      </c>
      <c r="X20" s="73">
        <f>Z19*'Lessor Summary by (department)'!$S$7</f>
        <v>112.95228067024216</v>
      </c>
      <c r="Y20" s="73">
        <f>Table810[[#This Row],[Payment]]-Table810[[#This Row],[Interest]]</f>
        <v>887.0477193297578</v>
      </c>
      <c r="Z20" s="73">
        <f t="shared" si="1"/>
        <v>44293.864548767109</v>
      </c>
      <c r="AB20" s="6"/>
      <c r="AC20" s="6"/>
      <c r="AD20" s="6"/>
    </row>
    <row r="21" spans="2:30" x14ac:dyDescent="0.2">
      <c r="B21" s="99" t="s">
        <v>67</v>
      </c>
      <c r="C21" s="25"/>
      <c r="D21" s="98"/>
      <c r="E21" s="97">
        <v>61800</v>
      </c>
      <c r="F21" s="77" t="s">
        <v>124</v>
      </c>
      <c r="H21" s="177"/>
      <c r="L21" s="1">
        <v>16</v>
      </c>
      <c r="M21" s="3">
        <v>43435</v>
      </c>
      <c r="N21" s="73">
        <f t="shared" si="2"/>
        <v>958.553779876455</v>
      </c>
      <c r="O21" s="73">
        <f t="shared" si="0"/>
        <v>42176.366314564002</v>
      </c>
      <c r="Q21" s="6"/>
      <c r="R21" s="6"/>
      <c r="S21" s="6"/>
      <c r="U21" s="1">
        <v>16</v>
      </c>
      <c r="V21" s="3">
        <v>43435</v>
      </c>
      <c r="W21" s="73">
        <f t="shared" si="3"/>
        <v>1000</v>
      </c>
      <c r="X21" s="73">
        <f>Z20*'Lessor Summary by (department)'!$S$7</f>
        <v>110.73466137191778</v>
      </c>
      <c r="Y21" s="73">
        <f>Table810[[#This Row],[Payment]]-Table810[[#This Row],[Interest]]</f>
        <v>889.26533862808219</v>
      </c>
      <c r="Z21" s="73">
        <f t="shared" si="1"/>
        <v>43404.599210139029</v>
      </c>
      <c r="AB21" s="6"/>
      <c r="AC21" s="6"/>
      <c r="AD21" s="6"/>
    </row>
    <row r="22" spans="2:30" x14ac:dyDescent="0.2">
      <c r="B22" s="99"/>
      <c r="C22" s="25"/>
      <c r="D22" s="98"/>
      <c r="E22" s="56"/>
      <c r="F22" s="77"/>
      <c r="H22" s="177"/>
      <c r="L22" s="1">
        <v>17</v>
      </c>
      <c r="M22" s="3">
        <v>43466</v>
      </c>
      <c r="N22" s="73">
        <f t="shared" si="2"/>
        <v>958.553779876455</v>
      </c>
      <c r="O22" s="73">
        <f t="shared" si="0"/>
        <v>41217.812534687546</v>
      </c>
      <c r="Q22" s="6"/>
      <c r="R22" s="6"/>
      <c r="S22" s="6"/>
      <c r="U22" s="1">
        <v>17</v>
      </c>
      <c r="V22" s="3">
        <v>43466</v>
      </c>
      <c r="W22" s="73">
        <f t="shared" si="3"/>
        <v>1000</v>
      </c>
      <c r="X22" s="73">
        <f>Z21*'Lessor Summary by (department)'!$S$7</f>
        <v>108.51149802534758</v>
      </c>
      <c r="Y22" s="73">
        <f>Table810[[#This Row],[Payment]]-Table810[[#This Row],[Interest]]</f>
        <v>891.48850197465242</v>
      </c>
      <c r="Z22" s="73">
        <f t="shared" si="1"/>
        <v>42513.110708164379</v>
      </c>
      <c r="AB22" s="6"/>
      <c r="AC22" s="6"/>
      <c r="AD22" s="6"/>
    </row>
    <row r="23" spans="2:30" ht="15" x14ac:dyDescent="0.25">
      <c r="B23" s="76"/>
      <c r="C23" s="95">
        <f>SUM(C19:C22)</f>
        <v>61800</v>
      </c>
      <c r="D23" s="91"/>
      <c r="E23" s="95">
        <f>SUM(E19:E22)</f>
        <v>61800</v>
      </c>
      <c r="F23" s="77"/>
      <c r="H23" s="177"/>
      <c r="L23" s="1">
        <v>18</v>
      </c>
      <c r="M23" s="3">
        <v>43497</v>
      </c>
      <c r="N23" s="73">
        <f t="shared" si="2"/>
        <v>958.553779876455</v>
      </c>
      <c r="O23" s="73">
        <f t="shared" si="0"/>
        <v>40259.25875481109</v>
      </c>
      <c r="Q23" s="6"/>
      <c r="R23" s="6"/>
      <c r="S23" s="6"/>
      <c r="U23" s="1">
        <v>18</v>
      </c>
      <c r="V23" s="3">
        <v>43497</v>
      </c>
      <c r="W23" s="73">
        <f t="shared" si="3"/>
        <v>1000</v>
      </c>
      <c r="X23" s="73">
        <f>Z22*'Lessor Summary by (department)'!$S$7</f>
        <v>106.28277677041095</v>
      </c>
      <c r="Y23" s="73">
        <f>Table810[[#This Row],[Payment]]-Table810[[#This Row],[Interest]]</f>
        <v>893.71722322958908</v>
      </c>
      <c r="Z23" s="73">
        <f t="shared" si="1"/>
        <v>41619.393484934786</v>
      </c>
      <c r="AB23" s="6"/>
      <c r="AC23" s="6"/>
      <c r="AD23" s="6"/>
    </row>
    <row r="24" spans="2:30" x14ac:dyDescent="0.2">
      <c r="B24" s="76"/>
      <c r="C24" s="68"/>
      <c r="D24" s="91"/>
      <c r="E24" s="68"/>
      <c r="F24" s="77"/>
      <c r="H24" s="177"/>
      <c r="L24" s="1">
        <v>19</v>
      </c>
      <c r="M24" s="3">
        <v>43525</v>
      </c>
      <c r="N24" s="73">
        <f t="shared" si="2"/>
        <v>958.553779876455</v>
      </c>
      <c r="O24" s="73">
        <f t="shared" si="0"/>
        <v>39300.704974934633</v>
      </c>
      <c r="Q24" s="6"/>
      <c r="R24" s="6"/>
      <c r="S24" s="6"/>
      <c r="U24" s="1">
        <v>19</v>
      </c>
      <c r="V24" s="3">
        <v>43525</v>
      </c>
      <c r="W24" s="73">
        <f t="shared" si="3"/>
        <v>1000</v>
      </c>
      <c r="X24" s="73">
        <f>Z23*'Lessor Summary by (department)'!$S$7</f>
        <v>104.04848371233697</v>
      </c>
      <c r="Y24" s="73">
        <f>Table810[[#This Row],[Payment]]-Table810[[#This Row],[Interest]]</f>
        <v>895.95151628766303</v>
      </c>
      <c r="Z24" s="73">
        <f t="shared" si="1"/>
        <v>40723.441968647123</v>
      </c>
      <c r="AB24" s="6"/>
      <c r="AC24" s="6"/>
      <c r="AD24" s="6"/>
    </row>
    <row r="25" spans="2:30" ht="15.75" customHeight="1" thickBot="1" x14ac:dyDescent="0.25">
      <c r="B25" s="167" t="s">
        <v>125</v>
      </c>
      <c r="C25" s="168"/>
      <c r="D25" s="168"/>
      <c r="E25" s="168"/>
      <c r="F25" s="169"/>
      <c r="H25" s="177"/>
      <c r="L25" s="1">
        <v>20</v>
      </c>
      <c r="M25" s="3">
        <v>43556</v>
      </c>
      <c r="N25" s="73">
        <f t="shared" si="2"/>
        <v>958.553779876455</v>
      </c>
      <c r="O25" s="73">
        <f t="shared" si="0"/>
        <v>38342.151195058177</v>
      </c>
      <c r="Q25" s="6"/>
      <c r="R25" s="6"/>
      <c r="S25" s="6"/>
      <c r="U25" s="1">
        <v>20</v>
      </c>
      <c r="V25" s="3">
        <v>43556</v>
      </c>
      <c r="W25" s="73">
        <f t="shared" si="3"/>
        <v>1000</v>
      </c>
      <c r="X25" s="73">
        <f>Z24*'Lessor Summary by (department)'!$S$7</f>
        <v>101.80860492161781</v>
      </c>
      <c r="Y25" s="73">
        <f>Table810[[#This Row],[Payment]]-Table810[[#This Row],[Interest]]</f>
        <v>898.19139507838213</v>
      </c>
      <c r="Z25" s="73">
        <f t="shared" si="1"/>
        <v>39825.250573568737</v>
      </c>
      <c r="AB25" s="6"/>
      <c r="AC25" s="6"/>
      <c r="AD25" s="6"/>
    </row>
    <row r="26" spans="2:30" ht="15" thickBot="1" x14ac:dyDescent="0.25">
      <c r="H26" s="177"/>
      <c r="L26" s="1">
        <v>21</v>
      </c>
      <c r="M26" s="3">
        <v>43586</v>
      </c>
      <c r="N26" s="73">
        <f t="shared" si="2"/>
        <v>958.553779876455</v>
      </c>
      <c r="O26" s="73">
        <f t="shared" si="0"/>
        <v>37383.597415181721</v>
      </c>
      <c r="Q26" s="6"/>
      <c r="R26" s="6"/>
      <c r="S26" s="6"/>
      <c r="U26" s="1">
        <v>21</v>
      </c>
      <c r="V26" s="3">
        <v>43586</v>
      </c>
      <c r="W26" s="73">
        <f t="shared" si="3"/>
        <v>1000</v>
      </c>
      <c r="X26" s="73">
        <f>Z25*'Lessor Summary by (department)'!$S$7</f>
        <v>99.563126433921852</v>
      </c>
      <c r="Y26" s="73">
        <f>Table810[[#This Row],[Payment]]-Table810[[#This Row],[Interest]]</f>
        <v>900.43687356607813</v>
      </c>
      <c r="Z26" s="73">
        <f t="shared" si="1"/>
        <v>38924.813700002662</v>
      </c>
      <c r="AB26" s="6"/>
      <c r="AC26" s="6"/>
      <c r="AD26" s="6"/>
    </row>
    <row r="27" spans="2:30" ht="15" x14ac:dyDescent="0.25">
      <c r="B27" s="96" t="s">
        <v>55</v>
      </c>
      <c r="C27" s="94" t="s">
        <v>42</v>
      </c>
      <c r="D27" s="93"/>
      <c r="E27" s="94" t="s">
        <v>43</v>
      </c>
      <c r="F27" s="75"/>
      <c r="H27" s="177"/>
      <c r="L27" s="1">
        <v>22</v>
      </c>
      <c r="M27" s="3">
        <v>43617</v>
      </c>
      <c r="N27" s="73">
        <f t="shared" si="2"/>
        <v>958.553779876455</v>
      </c>
      <c r="O27" s="73">
        <f t="shared" si="0"/>
        <v>36425.043635305265</v>
      </c>
      <c r="Q27" s="74">
        <f>SUM(N16:N27)</f>
        <v>11502.645358517459</v>
      </c>
      <c r="R27" s="6" t="s">
        <v>51</v>
      </c>
      <c r="S27" s="6"/>
      <c r="U27" s="1">
        <v>22</v>
      </c>
      <c r="V27" s="3">
        <v>43617</v>
      </c>
      <c r="W27" s="73">
        <f t="shared" si="3"/>
        <v>1000</v>
      </c>
      <c r="X27" s="73">
        <f>Z26*'Lessor Summary by (department)'!$S$7</f>
        <v>97.312034250006661</v>
      </c>
      <c r="Y27" s="73">
        <f>Table810[[#This Row],[Payment]]-Table810[[#This Row],[Interest]]</f>
        <v>902.68796574999328</v>
      </c>
      <c r="Z27" s="73">
        <f t="shared" si="1"/>
        <v>38022.125734252666</v>
      </c>
      <c r="AB27" s="74">
        <f>SUM(Y16:Y27)</f>
        <v>10684.911615973846</v>
      </c>
      <c r="AC27" s="6" t="s">
        <v>51</v>
      </c>
      <c r="AD27" s="6"/>
    </row>
    <row r="28" spans="2:30" ht="15" x14ac:dyDescent="0.25">
      <c r="B28" s="76"/>
      <c r="C28" s="83"/>
      <c r="D28" s="91"/>
      <c r="E28" s="83"/>
      <c r="F28" s="77"/>
      <c r="H28" s="177"/>
      <c r="L28" s="1">
        <v>23</v>
      </c>
      <c r="M28" s="3">
        <v>43647</v>
      </c>
      <c r="N28" s="73">
        <f t="shared" si="2"/>
        <v>958.553779876455</v>
      </c>
      <c r="O28" s="73">
        <f t="shared" si="0"/>
        <v>35466.489855428808</v>
      </c>
      <c r="Q28" s="106">
        <f>SUM(Q27,Q15)</f>
        <v>21088.183157282008</v>
      </c>
      <c r="R28" s="178" t="s">
        <v>53</v>
      </c>
      <c r="S28" s="178"/>
      <c r="T28" s="110"/>
      <c r="U28" s="1">
        <v>23</v>
      </c>
      <c r="V28" s="3">
        <v>43647</v>
      </c>
      <c r="W28" s="73">
        <f t="shared" si="3"/>
        <v>1000</v>
      </c>
      <c r="X28" s="73">
        <f>Z27*'Lessor Summary by (department)'!$S$7</f>
        <v>95.055314335631664</v>
      </c>
      <c r="Y28" s="73">
        <f>Table810[[#This Row],[Payment]]-Table810[[#This Row],[Interest]]</f>
        <v>904.94468566436831</v>
      </c>
      <c r="Z28" s="73">
        <f t="shared" si="1"/>
        <v>37117.181048588296</v>
      </c>
      <c r="AB28" s="106">
        <f>SUM(AB27,AB15)</f>
        <v>19491.101058334643</v>
      </c>
      <c r="AC28" s="178" t="s">
        <v>53</v>
      </c>
      <c r="AD28" s="178"/>
    </row>
    <row r="29" spans="2:30" x14ac:dyDescent="0.2">
      <c r="B29" s="99" t="s">
        <v>67</v>
      </c>
      <c r="C29" s="97">
        <f>$C$9</f>
        <v>57513.226792587302</v>
      </c>
      <c r="D29" s="98"/>
      <c r="E29" s="25"/>
      <c r="F29" s="77" t="s">
        <v>140</v>
      </c>
      <c r="H29" s="177"/>
      <c r="L29" s="1">
        <v>24</v>
      </c>
      <c r="M29" s="3">
        <v>43678</v>
      </c>
      <c r="N29" s="73">
        <f t="shared" si="2"/>
        <v>958.553779876455</v>
      </c>
      <c r="O29" s="73">
        <f t="shared" si="0"/>
        <v>34507.936075552352</v>
      </c>
      <c r="U29" s="1">
        <v>24</v>
      </c>
      <c r="V29" s="3">
        <v>43678</v>
      </c>
      <c r="W29" s="73">
        <f t="shared" si="3"/>
        <v>1000</v>
      </c>
      <c r="X29" s="73">
        <f>Z28*'Lessor Summary by (department)'!$S$7</f>
        <v>92.792952621470747</v>
      </c>
      <c r="Y29" s="73">
        <f>Table810[[#This Row],[Payment]]-Table810[[#This Row],[Interest]]</f>
        <v>907.2070473785293</v>
      </c>
      <c r="Z29" s="73">
        <f t="shared" si="1"/>
        <v>36209.974001209768</v>
      </c>
    </row>
    <row r="30" spans="2:30" x14ac:dyDescent="0.2">
      <c r="B30" s="99"/>
      <c r="C30" s="25"/>
      <c r="D30" s="98"/>
      <c r="E30" s="97"/>
      <c r="F30" s="77"/>
      <c r="H30" s="177"/>
      <c r="L30" s="1">
        <v>25</v>
      </c>
      <c r="M30" s="3">
        <v>43709</v>
      </c>
      <c r="N30" s="73">
        <f t="shared" si="2"/>
        <v>958.553779876455</v>
      </c>
      <c r="O30" s="73">
        <f t="shared" si="0"/>
        <v>33549.382295675896</v>
      </c>
      <c r="U30" s="1">
        <v>25</v>
      </c>
      <c r="V30" s="3">
        <v>43709</v>
      </c>
      <c r="W30" s="73">
        <f t="shared" si="3"/>
        <v>1000</v>
      </c>
      <c r="X30" s="73">
        <f>Z29*'Lessor Summary by (department)'!$S$7</f>
        <v>90.524935003024424</v>
      </c>
      <c r="Y30" s="73">
        <f>Table810[[#This Row],[Payment]]-Table810[[#This Row],[Interest]]</f>
        <v>909.47506499697556</v>
      </c>
      <c r="Z30" s="73">
        <f t="shared" si="1"/>
        <v>35300.498936212796</v>
      </c>
    </row>
    <row r="31" spans="2:30" x14ac:dyDescent="0.2">
      <c r="B31" s="99" t="s">
        <v>89</v>
      </c>
      <c r="C31" s="25"/>
      <c r="D31" s="98"/>
      <c r="E31" s="97">
        <f>$F$9</f>
        <v>57513.226792587302</v>
      </c>
      <c r="F31" s="77" t="s">
        <v>140</v>
      </c>
      <c r="H31" s="177"/>
      <c r="L31" s="1">
        <v>26</v>
      </c>
      <c r="M31" s="3">
        <v>43739</v>
      </c>
      <c r="N31" s="73">
        <f t="shared" si="2"/>
        <v>958.553779876455</v>
      </c>
      <c r="O31" s="73">
        <f t="shared" si="0"/>
        <v>32590.82851579944</v>
      </c>
      <c r="U31" s="1">
        <v>26</v>
      </c>
      <c r="V31" s="3">
        <v>43739</v>
      </c>
      <c r="W31" s="73">
        <f t="shared" si="3"/>
        <v>1000</v>
      </c>
      <c r="X31" s="73">
        <f>Z30*'Lessor Summary by (department)'!$S$7</f>
        <v>88.251247340531989</v>
      </c>
      <c r="Y31" s="73">
        <f>Table810[[#This Row],[Payment]]-Table810[[#This Row],[Interest]]</f>
        <v>911.74875265946798</v>
      </c>
      <c r="Z31" s="73">
        <f t="shared" si="1"/>
        <v>34388.750183553326</v>
      </c>
    </row>
    <row r="32" spans="2:30" x14ac:dyDescent="0.2">
      <c r="B32" s="99"/>
      <c r="C32" s="25"/>
      <c r="D32" s="98"/>
      <c r="E32" s="56"/>
      <c r="F32" s="77"/>
      <c r="H32" s="177"/>
      <c r="L32" s="1">
        <v>27</v>
      </c>
      <c r="M32" s="3">
        <v>43770</v>
      </c>
      <c r="N32" s="73">
        <f t="shared" si="2"/>
        <v>958.553779876455</v>
      </c>
      <c r="O32" s="73">
        <f t="shared" si="0"/>
        <v>31632.274735922983</v>
      </c>
      <c r="U32" s="1">
        <v>27</v>
      </c>
      <c r="V32" s="3">
        <v>43770</v>
      </c>
      <c r="W32" s="73">
        <f t="shared" si="3"/>
        <v>1000</v>
      </c>
      <c r="X32" s="73">
        <f>Z31*'Lessor Summary by (department)'!$S$7</f>
        <v>85.971875458883318</v>
      </c>
      <c r="Y32" s="73">
        <f>Table810[[#This Row],[Payment]]-Table810[[#This Row],[Interest]]</f>
        <v>914.02812454111665</v>
      </c>
      <c r="Z32" s="73">
        <f t="shared" si="1"/>
        <v>33474.722059012209</v>
      </c>
    </row>
    <row r="33" spans="2:31" ht="15" x14ac:dyDescent="0.25">
      <c r="B33" s="76"/>
      <c r="C33" s="95">
        <f>SUM(C29:C32)</f>
        <v>57513.226792587302</v>
      </c>
      <c r="D33" s="91"/>
      <c r="E33" s="95">
        <f>SUM(E29:E32)</f>
        <v>57513.226792587302</v>
      </c>
      <c r="F33" s="77"/>
      <c r="H33" s="177"/>
      <c r="L33" s="1">
        <v>28</v>
      </c>
      <c r="M33" s="3">
        <v>43800</v>
      </c>
      <c r="N33" s="73">
        <f t="shared" si="2"/>
        <v>958.553779876455</v>
      </c>
      <c r="O33" s="73">
        <f t="shared" si="0"/>
        <v>30673.720956046527</v>
      </c>
      <c r="U33" s="1">
        <v>28</v>
      </c>
      <c r="V33" s="3">
        <v>43800</v>
      </c>
      <c r="W33" s="73">
        <f t="shared" si="3"/>
        <v>1000</v>
      </c>
      <c r="X33" s="73">
        <f>Z32*'Lessor Summary by (department)'!$S$7</f>
        <v>83.686805147530521</v>
      </c>
      <c r="Y33" s="73">
        <f>Table810[[#This Row],[Payment]]-Table810[[#This Row],[Interest]]</f>
        <v>916.31319485246945</v>
      </c>
      <c r="Z33" s="73">
        <f t="shared" si="1"/>
        <v>32558.408864159741</v>
      </c>
    </row>
    <row r="34" spans="2:31" x14ac:dyDescent="0.2">
      <c r="B34" s="76"/>
      <c r="C34" s="68"/>
      <c r="D34" s="91"/>
      <c r="E34" s="68"/>
      <c r="F34" s="77"/>
      <c r="H34" s="177"/>
      <c r="L34" s="1">
        <v>29</v>
      </c>
      <c r="M34" s="3">
        <v>43831</v>
      </c>
      <c r="N34" s="73">
        <f t="shared" si="2"/>
        <v>958.553779876455</v>
      </c>
      <c r="O34" s="73">
        <f t="shared" si="0"/>
        <v>29715.167176170071</v>
      </c>
      <c r="U34" s="1">
        <v>29</v>
      </c>
      <c r="V34" s="3">
        <v>43831</v>
      </c>
      <c r="W34" s="73">
        <f t="shared" si="3"/>
        <v>1000</v>
      </c>
      <c r="X34" s="73">
        <f>Z33*'Lessor Summary by (department)'!$S$7</f>
        <v>81.396022160399355</v>
      </c>
      <c r="Y34" s="73">
        <f>Table810[[#This Row],[Payment]]-Table810[[#This Row],[Interest]]</f>
        <v>918.6039778396007</v>
      </c>
      <c r="Z34" s="73">
        <f t="shared" si="1"/>
        <v>31639.80488632014</v>
      </c>
    </row>
    <row r="35" spans="2:31" ht="15" thickBot="1" x14ac:dyDescent="0.25">
      <c r="B35" s="167" t="s">
        <v>129</v>
      </c>
      <c r="C35" s="168"/>
      <c r="D35" s="168"/>
      <c r="E35" s="168"/>
      <c r="F35" s="169"/>
      <c r="H35" s="177"/>
      <c r="L35" s="1">
        <v>30</v>
      </c>
      <c r="M35" s="3">
        <v>43862</v>
      </c>
      <c r="N35" s="73">
        <f t="shared" si="2"/>
        <v>958.553779876455</v>
      </c>
      <c r="O35" s="73">
        <f t="shared" si="0"/>
        <v>28756.613396293615</v>
      </c>
      <c r="U35" s="1">
        <v>30</v>
      </c>
      <c r="V35" s="3">
        <v>43862</v>
      </c>
      <c r="W35" s="73">
        <f t="shared" si="3"/>
        <v>1000</v>
      </c>
      <c r="X35" s="73">
        <f>Z34*'Lessor Summary by (department)'!$S$7</f>
        <v>79.099512215800345</v>
      </c>
      <c r="Y35" s="73">
        <f>Table810[[#This Row],[Payment]]-Table810[[#This Row],[Interest]]</f>
        <v>920.90048778419964</v>
      </c>
      <c r="Z35" s="73">
        <f t="shared" si="1"/>
        <v>30718.904398535942</v>
      </c>
    </row>
    <row r="36" spans="2:31" ht="15" thickBot="1" x14ac:dyDescent="0.25">
      <c r="H36" s="177"/>
      <c r="L36" s="1">
        <v>31</v>
      </c>
      <c r="M36" s="3">
        <v>43891</v>
      </c>
      <c r="N36" s="73">
        <f t="shared" si="2"/>
        <v>958.553779876455</v>
      </c>
      <c r="O36" s="73">
        <f t="shared" si="0"/>
        <v>27798.059616417158</v>
      </c>
      <c r="U36" s="1">
        <v>31</v>
      </c>
      <c r="V36" s="3">
        <v>43891</v>
      </c>
      <c r="W36" s="73">
        <f t="shared" si="3"/>
        <v>1000</v>
      </c>
      <c r="X36" s="73">
        <f>Z35*'Lessor Summary by (department)'!$S$7</f>
        <v>76.797260996339858</v>
      </c>
      <c r="Y36" s="73">
        <f>Table810[[#This Row],[Payment]]-Table810[[#This Row],[Interest]]</f>
        <v>923.2027390036601</v>
      </c>
      <c r="Z36" s="73">
        <f t="shared" si="1"/>
        <v>29795.701659532282</v>
      </c>
    </row>
    <row r="37" spans="2:31" ht="15" x14ac:dyDescent="0.25">
      <c r="B37" s="165" t="s">
        <v>130</v>
      </c>
      <c r="C37" s="94" t="s">
        <v>42</v>
      </c>
      <c r="D37" s="93"/>
      <c r="E37" s="94" t="s">
        <v>43</v>
      </c>
      <c r="F37" s="75"/>
      <c r="H37" s="177"/>
      <c r="L37" s="1">
        <v>32</v>
      </c>
      <c r="M37" s="3">
        <v>43922</v>
      </c>
      <c r="N37" s="73">
        <f t="shared" si="2"/>
        <v>958.553779876455</v>
      </c>
      <c r="O37" s="73">
        <f t="shared" si="0"/>
        <v>26839.505836540702</v>
      </c>
      <c r="U37" s="1">
        <v>32</v>
      </c>
      <c r="V37" s="3">
        <v>43922</v>
      </c>
      <c r="W37" s="73">
        <f t="shared" si="3"/>
        <v>1000</v>
      </c>
      <c r="X37" s="73">
        <f>Z36*'Lessor Summary by (department)'!$S$7</f>
        <v>74.48925414883071</v>
      </c>
      <c r="Y37" s="73">
        <f>Table810[[#This Row],[Payment]]-Table810[[#This Row],[Interest]]</f>
        <v>925.5107458511693</v>
      </c>
      <c r="Z37" s="73">
        <f t="shared" si="1"/>
        <v>28870.190913681112</v>
      </c>
    </row>
    <row r="38" spans="2:31" x14ac:dyDescent="0.2">
      <c r="B38" s="166"/>
      <c r="C38" s="83"/>
      <c r="D38" s="91"/>
      <c r="E38" s="83"/>
      <c r="F38" s="77"/>
      <c r="H38" s="177"/>
      <c r="L38" s="1">
        <v>33</v>
      </c>
      <c r="M38" s="3">
        <v>43952</v>
      </c>
      <c r="N38" s="73">
        <f t="shared" si="2"/>
        <v>958.553779876455</v>
      </c>
      <c r="O38" s="73">
        <f t="shared" si="0"/>
        <v>25880.952056664246</v>
      </c>
      <c r="U38" s="1">
        <v>33</v>
      </c>
      <c r="V38" s="3">
        <v>43952</v>
      </c>
      <c r="W38" s="73">
        <f t="shared" si="3"/>
        <v>1000</v>
      </c>
      <c r="X38" s="73">
        <f>Z37*'Lessor Summary by (department)'!$S$7</f>
        <v>72.175477284202785</v>
      </c>
      <c r="Y38" s="73">
        <f>Table810[[#This Row],[Payment]]-Table810[[#This Row],[Interest]]</f>
        <v>927.82452271579723</v>
      </c>
      <c r="Z38" s="73">
        <f t="shared" si="1"/>
        <v>27942.366390965315</v>
      </c>
    </row>
    <row r="39" spans="2:31" ht="15" x14ac:dyDescent="0.25">
      <c r="B39" s="99" t="s">
        <v>45</v>
      </c>
      <c r="C39" s="97">
        <f>$E$40</f>
        <v>19491.101058334643</v>
      </c>
      <c r="D39" s="98"/>
      <c r="E39" s="25"/>
      <c r="F39" s="77" t="s">
        <v>141</v>
      </c>
      <c r="H39" s="177"/>
      <c r="L39" s="1">
        <v>34</v>
      </c>
      <c r="M39" s="3">
        <v>43983</v>
      </c>
      <c r="N39" s="73">
        <f t="shared" si="2"/>
        <v>958.553779876455</v>
      </c>
      <c r="O39" s="73">
        <f t="shared" si="0"/>
        <v>24922.39827678779</v>
      </c>
      <c r="Q39" s="106">
        <f>SUM(N28:N39)</f>
        <v>11502.645358517459</v>
      </c>
      <c r="R39" s="70" t="s">
        <v>52</v>
      </c>
      <c r="S39" s="70" t="s">
        <v>54</v>
      </c>
      <c r="T39" s="111"/>
      <c r="U39" s="1">
        <v>34</v>
      </c>
      <c r="V39" s="3">
        <v>43983</v>
      </c>
      <c r="W39" s="73">
        <f t="shared" si="3"/>
        <v>1000</v>
      </c>
      <c r="X39" s="73">
        <f>Z38*'Lessor Summary by (department)'!$S$7</f>
        <v>69.855915977413289</v>
      </c>
      <c r="Y39" s="73">
        <f>Table810[[#This Row],[Payment]]-Table810[[#This Row],[Interest]]</f>
        <v>930.14408402258675</v>
      </c>
      <c r="Z39" s="73">
        <f t="shared" si="1"/>
        <v>27012.222306942727</v>
      </c>
      <c r="AB39" s="106">
        <f>SUM(X28:X39)</f>
        <v>990.09657269005913</v>
      </c>
      <c r="AC39" s="106">
        <f>SUM(Y28:Y39)</f>
        <v>11009.903427309941</v>
      </c>
      <c r="AD39" s="70" t="s">
        <v>52</v>
      </c>
      <c r="AE39" s="70" t="s">
        <v>54</v>
      </c>
    </row>
    <row r="40" spans="2:31" x14ac:dyDescent="0.2">
      <c r="B40" s="99" t="s">
        <v>67</v>
      </c>
      <c r="C40" s="25"/>
      <c r="D40" s="98"/>
      <c r="E40" s="97">
        <f>$AB$28</f>
        <v>19491.101058334643</v>
      </c>
      <c r="F40" s="77" t="s">
        <v>141</v>
      </c>
      <c r="H40" s="177"/>
      <c r="L40" s="1">
        <v>35</v>
      </c>
      <c r="M40" s="3">
        <v>44013</v>
      </c>
      <c r="N40" s="73">
        <f t="shared" si="2"/>
        <v>958.553779876455</v>
      </c>
      <c r="O40" s="73">
        <f t="shared" si="0"/>
        <v>23963.844496911333</v>
      </c>
      <c r="U40" s="1">
        <v>35</v>
      </c>
      <c r="V40" s="3">
        <v>44013</v>
      </c>
      <c r="W40" s="73">
        <f t="shared" si="3"/>
        <v>1000</v>
      </c>
      <c r="X40" s="73">
        <f>Z39*'Lessor Summary by (department)'!$S$7</f>
        <v>67.530555767356816</v>
      </c>
      <c r="Y40" s="73">
        <f>Table810[[#This Row],[Payment]]-Table810[[#This Row],[Interest]]</f>
        <v>932.46944423264313</v>
      </c>
      <c r="Z40" s="73">
        <f t="shared" si="1"/>
        <v>26079.752862710084</v>
      </c>
      <c r="AB40" s="1" t="s">
        <v>74</v>
      </c>
      <c r="AC40" s="1" t="s">
        <v>133</v>
      </c>
    </row>
    <row r="41" spans="2:31" x14ac:dyDescent="0.2">
      <c r="B41" s="99"/>
      <c r="C41" s="25"/>
      <c r="D41" s="98"/>
      <c r="E41" s="97"/>
      <c r="F41" s="77"/>
      <c r="H41" s="177"/>
      <c r="L41" s="1">
        <v>36</v>
      </c>
      <c r="M41" s="3">
        <v>44044</v>
      </c>
      <c r="N41" s="73">
        <f t="shared" si="2"/>
        <v>958.553779876455</v>
      </c>
      <c r="O41" s="73">
        <f t="shared" si="0"/>
        <v>23005.290717034877</v>
      </c>
      <c r="U41" s="1">
        <v>36</v>
      </c>
      <c r="V41" s="3">
        <v>44044</v>
      </c>
      <c r="W41" s="73">
        <f t="shared" si="3"/>
        <v>1000</v>
      </c>
      <c r="X41" s="73">
        <f>Z40*'Lessor Summary by (department)'!$S$7</f>
        <v>65.199382156775215</v>
      </c>
      <c r="Y41" s="73">
        <f>Table810[[#This Row],[Payment]]-Table810[[#This Row],[Interest]]</f>
        <v>934.80061784322481</v>
      </c>
      <c r="Z41" s="73">
        <f t="shared" si="1"/>
        <v>25144.952244866858</v>
      </c>
    </row>
    <row r="42" spans="2:31" x14ac:dyDescent="0.2">
      <c r="B42" s="99"/>
      <c r="C42" s="25"/>
      <c r="D42" s="98"/>
      <c r="E42" s="56"/>
      <c r="F42" s="77"/>
      <c r="H42" s="177"/>
      <c r="L42" s="1">
        <v>37</v>
      </c>
      <c r="M42" s="3">
        <v>44075</v>
      </c>
      <c r="N42" s="73">
        <f t="shared" si="2"/>
        <v>958.553779876455</v>
      </c>
      <c r="O42" s="73">
        <f t="shared" si="0"/>
        <v>22046.736937158421</v>
      </c>
      <c r="U42" s="1">
        <v>37</v>
      </c>
      <c r="V42" s="3">
        <v>44075</v>
      </c>
      <c r="W42" s="73">
        <f t="shared" si="3"/>
        <v>1000</v>
      </c>
      <c r="X42" s="73">
        <f>Z41*'Lessor Summary by (department)'!$S$7</f>
        <v>62.862380612167144</v>
      </c>
      <c r="Y42" s="73">
        <f>Table810[[#This Row],[Payment]]-Table810[[#This Row],[Interest]]</f>
        <v>937.13761938783284</v>
      </c>
      <c r="Z42" s="73">
        <f t="shared" si="1"/>
        <v>24207.814625479026</v>
      </c>
    </row>
    <row r="43" spans="2:31" ht="15" x14ac:dyDescent="0.25">
      <c r="B43" s="76"/>
      <c r="C43" s="95">
        <f>SUM(C39:C42)</f>
        <v>19491.101058334643</v>
      </c>
      <c r="D43" s="91"/>
      <c r="E43" s="95">
        <f>SUM(E39:E42)</f>
        <v>19491.101058334643</v>
      </c>
      <c r="F43" s="77"/>
      <c r="H43" s="177"/>
      <c r="L43" s="1">
        <v>38</v>
      </c>
      <c r="M43" s="3">
        <v>44105</v>
      </c>
      <c r="N43" s="73">
        <f t="shared" si="2"/>
        <v>958.553779876455</v>
      </c>
      <c r="O43" s="73">
        <f t="shared" si="0"/>
        <v>21088.183157281965</v>
      </c>
      <c r="U43" s="1">
        <v>38</v>
      </c>
      <c r="V43" s="3">
        <v>44105</v>
      </c>
      <c r="W43" s="73">
        <f t="shared" si="3"/>
        <v>1000</v>
      </c>
      <c r="X43" s="73">
        <f>Z42*'Lessor Summary by (department)'!$S$7</f>
        <v>60.519536563697564</v>
      </c>
      <c r="Y43" s="73">
        <f>Table810[[#This Row],[Payment]]-Table810[[#This Row],[Interest]]</f>
        <v>939.48046343630244</v>
      </c>
      <c r="Z43" s="73">
        <f t="shared" si="1"/>
        <v>23268.334162042724</v>
      </c>
    </row>
    <row r="44" spans="2:31" x14ac:dyDescent="0.2">
      <c r="B44" s="76"/>
      <c r="C44" s="68"/>
      <c r="D44" s="91"/>
      <c r="E44" s="68"/>
      <c r="F44" s="77"/>
      <c r="H44" s="177"/>
      <c r="L44" s="1">
        <v>39</v>
      </c>
      <c r="M44" s="3">
        <v>44136</v>
      </c>
      <c r="N44" s="73">
        <f t="shared" si="2"/>
        <v>958.553779876455</v>
      </c>
      <c r="O44" s="73">
        <f t="shared" si="0"/>
        <v>20129.629377405508</v>
      </c>
      <c r="U44" s="1">
        <v>39</v>
      </c>
      <c r="V44" s="3">
        <v>44136</v>
      </c>
      <c r="W44" s="73">
        <f t="shared" si="3"/>
        <v>1000</v>
      </c>
      <c r="X44" s="73">
        <f>Z43*'Lessor Summary by (department)'!$S$7</f>
        <v>58.170835405106807</v>
      </c>
      <c r="Y44" s="73">
        <f>Table810[[#This Row],[Payment]]-Table810[[#This Row],[Interest]]</f>
        <v>941.8291645948932</v>
      </c>
      <c r="Z44" s="73">
        <f t="shared" si="1"/>
        <v>22326.504997447832</v>
      </c>
    </row>
    <row r="45" spans="2:31" ht="15" thickBot="1" x14ac:dyDescent="0.25">
      <c r="B45" s="167" t="s">
        <v>131</v>
      </c>
      <c r="C45" s="168"/>
      <c r="D45" s="168"/>
      <c r="E45" s="168"/>
      <c r="F45" s="169"/>
      <c r="H45" s="177"/>
      <c r="L45" s="1">
        <v>40</v>
      </c>
      <c r="M45" s="3">
        <v>44166</v>
      </c>
      <c r="N45" s="73">
        <f t="shared" si="2"/>
        <v>958.553779876455</v>
      </c>
      <c r="O45" s="73">
        <f t="shared" si="0"/>
        <v>19171.075597529052</v>
      </c>
      <c r="U45" s="1">
        <v>40</v>
      </c>
      <c r="V45" s="3">
        <v>44166</v>
      </c>
      <c r="W45" s="73">
        <f t="shared" si="3"/>
        <v>1000</v>
      </c>
      <c r="X45" s="73">
        <f>Z44*'Lessor Summary by (department)'!$S$7</f>
        <v>55.816262493619583</v>
      </c>
      <c r="Y45" s="73">
        <f>Table810[[#This Row],[Payment]]-Table810[[#This Row],[Interest]]</f>
        <v>944.18373750638045</v>
      </c>
      <c r="Z45" s="73">
        <f t="shared" si="1"/>
        <v>21382.321259941451</v>
      </c>
    </row>
    <row r="46" spans="2:31" ht="15" thickBot="1" x14ac:dyDescent="0.25">
      <c r="H46" s="177"/>
      <c r="L46" s="1">
        <v>41</v>
      </c>
      <c r="M46" s="3">
        <v>44197</v>
      </c>
      <c r="N46" s="73">
        <f t="shared" si="2"/>
        <v>958.553779876455</v>
      </c>
      <c r="O46" s="73">
        <f t="shared" si="0"/>
        <v>18212.521817652596</v>
      </c>
      <c r="U46" s="1">
        <v>41</v>
      </c>
      <c r="V46" s="3">
        <v>44197</v>
      </c>
      <c r="W46" s="73">
        <f t="shared" si="3"/>
        <v>1000</v>
      </c>
      <c r="X46" s="73">
        <f>Z45*'Lessor Summary by (department)'!$S$7</f>
        <v>53.455803149853629</v>
      </c>
      <c r="Y46" s="73">
        <f>Table810[[#This Row],[Payment]]-Table810[[#This Row],[Interest]]</f>
        <v>946.54419685014636</v>
      </c>
      <c r="Z46" s="73">
        <f t="shared" si="1"/>
        <v>20435.777063091304</v>
      </c>
    </row>
    <row r="47" spans="2:31" ht="15" x14ac:dyDescent="0.25">
      <c r="B47" s="96" t="s">
        <v>132</v>
      </c>
      <c r="C47" s="94"/>
      <c r="D47" s="93"/>
      <c r="E47" s="94"/>
      <c r="F47" s="75"/>
      <c r="H47" s="177"/>
      <c r="L47" s="1">
        <v>42</v>
      </c>
      <c r="M47" s="3">
        <v>44228</v>
      </c>
      <c r="N47" s="73">
        <f t="shared" si="2"/>
        <v>958.553779876455</v>
      </c>
      <c r="O47" s="73">
        <f t="shared" si="0"/>
        <v>17253.96803777614</v>
      </c>
      <c r="U47" s="1">
        <v>42</v>
      </c>
      <c r="V47" s="3">
        <v>44228</v>
      </c>
      <c r="W47" s="73">
        <f t="shared" si="3"/>
        <v>1000</v>
      </c>
      <c r="X47" s="73">
        <f>Z46*'Lessor Summary by (department)'!$S$7</f>
        <v>51.089442657728263</v>
      </c>
      <c r="Y47" s="73">
        <f>Table810[[#This Row],[Payment]]-Table810[[#This Row],[Interest]]</f>
        <v>948.91055734227177</v>
      </c>
      <c r="Z47" s="73">
        <f t="shared" si="1"/>
        <v>19486.866505749033</v>
      </c>
    </row>
    <row r="48" spans="2:31" x14ac:dyDescent="0.2">
      <c r="B48" s="108"/>
      <c r="C48" s="83"/>
      <c r="D48" s="91"/>
      <c r="E48" s="83"/>
      <c r="F48" s="77"/>
      <c r="H48" s="177"/>
      <c r="L48" s="1">
        <v>43</v>
      </c>
      <c r="M48" s="3">
        <v>44256</v>
      </c>
      <c r="N48" s="73">
        <f t="shared" si="2"/>
        <v>958.553779876455</v>
      </c>
      <c r="O48" s="73">
        <f t="shared" si="0"/>
        <v>16295.414257899685</v>
      </c>
      <c r="U48" s="1">
        <v>43</v>
      </c>
      <c r="V48" s="3">
        <v>44256</v>
      </c>
      <c r="W48" s="73">
        <f t="shared" si="3"/>
        <v>1000</v>
      </c>
      <c r="X48" s="73">
        <f>Z47*'Lessor Summary by (department)'!$S$7</f>
        <v>48.71716626437258</v>
      </c>
      <c r="Y48" s="73">
        <f>Table810[[#This Row],[Payment]]-Table810[[#This Row],[Interest]]</f>
        <v>951.28283373562738</v>
      </c>
      <c r="Z48" s="73">
        <f t="shared" si="1"/>
        <v>18535.583672013407</v>
      </c>
    </row>
    <row r="49" spans="2:30" x14ac:dyDescent="0.2">
      <c r="B49" s="99" t="s">
        <v>70</v>
      </c>
      <c r="C49" s="97">
        <f>E50+E51</f>
        <v>12000</v>
      </c>
      <c r="D49" s="98"/>
      <c r="E49" s="107"/>
      <c r="F49" s="77" t="s">
        <v>142</v>
      </c>
      <c r="H49" s="177"/>
      <c r="L49" s="1">
        <v>44</v>
      </c>
      <c r="M49" s="3">
        <v>44287</v>
      </c>
      <c r="N49" s="73">
        <f t="shared" si="2"/>
        <v>958.553779876455</v>
      </c>
      <c r="O49" s="73">
        <f t="shared" si="0"/>
        <v>15336.860478023231</v>
      </c>
      <c r="U49" s="1">
        <v>44</v>
      </c>
      <c r="V49" s="3">
        <v>44287</v>
      </c>
      <c r="W49" s="73">
        <f t="shared" si="3"/>
        <v>1000</v>
      </c>
      <c r="X49" s="73">
        <f>Z48*'Lessor Summary by (department)'!$S$7</f>
        <v>46.33895918003352</v>
      </c>
      <c r="Y49" s="73">
        <f>Table810[[#This Row],[Payment]]-Table810[[#This Row],[Interest]]</f>
        <v>953.6610408199665</v>
      </c>
      <c r="Z49" s="73">
        <f t="shared" si="1"/>
        <v>17581.92263119344</v>
      </c>
    </row>
    <row r="50" spans="2:30" x14ac:dyDescent="0.2">
      <c r="B50" s="99" t="s">
        <v>67</v>
      </c>
      <c r="C50" s="25"/>
      <c r="D50" s="98"/>
      <c r="E50" s="107">
        <f>AC39</f>
        <v>11009.903427309941</v>
      </c>
      <c r="F50" s="77" t="s">
        <v>143</v>
      </c>
      <c r="H50" s="177"/>
      <c r="L50" s="1">
        <v>45</v>
      </c>
      <c r="M50" s="3">
        <v>44317</v>
      </c>
      <c r="N50" s="73">
        <f t="shared" si="2"/>
        <v>958.553779876455</v>
      </c>
      <c r="O50" s="73">
        <f t="shared" si="0"/>
        <v>14378.306698146776</v>
      </c>
      <c r="U50" s="1">
        <v>45</v>
      </c>
      <c r="V50" s="3">
        <v>44317</v>
      </c>
      <c r="W50" s="73">
        <f t="shared" si="3"/>
        <v>1000</v>
      </c>
      <c r="X50" s="73">
        <f>Z49*'Lessor Summary by (department)'!$S$7</f>
        <v>43.954806577983604</v>
      </c>
      <c r="Y50" s="73">
        <f>Table810[[#This Row],[Payment]]-Table810[[#This Row],[Interest]]</f>
        <v>956.04519342201638</v>
      </c>
      <c r="Z50" s="73">
        <f t="shared" si="1"/>
        <v>16625.877437771422</v>
      </c>
    </row>
    <row r="51" spans="2:30" ht="15" x14ac:dyDescent="0.25">
      <c r="B51" s="99" t="s">
        <v>69</v>
      </c>
      <c r="C51" s="107"/>
      <c r="D51" s="98"/>
      <c r="E51" s="107">
        <f>AB39</f>
        <v>990.09657269005913</v>
      </c>
      <c r="F51" s="77" t="s">
        <v>97</v>
      </c>
      <c r="H51" s="177"/>
      <c r="L51" s="1">
        <v>46</v>
      </c>
      <c r="M51" s="3">
        <v>44348</v>
      </c>
      <c r="N51" s="73">
        <f t="shared" si="2"/>
        <v>958.553779876455</v>
      </c>
      <c r="O51" s="73">
        <f t="shared" si="0"/>
        <v>13419.752918270322</v>
      </c>
      <c r="Q51" s="106">
        <f>SUM(N40:N51)</f>
        <v>11502.645358517459</v>
      </c>
      <c r="R51" s="70" t="s">
        <v>57</v>
      </c>
      <c r="S51" s="70"/>
      <c r="T51" s="111"/>
      <c r="U51" s="1">
        <v>46</v>
      </c>
      <c r="V51" s="3">
        <v>44348</v>
      </c>
      <c r="W51" s="73">
        <f t="shared" si="3"/>
        <v>1000</v>
      </c>
      <c r="X51" s="73">
        <f>Z50*'Lessor Summary by (department)'!$S$7</f>
        <v>41.564693594428554</v>
      </c>
      <c r="Y51" s="73">
        <f>Table810[[#This Row],[Payment]]-Table810[[#This Row],[Interest]]</f>
        <v>958.4353064055714</v>
      </c>
      <c r="Z51" s="73">
        <f t="shared" si="1"/>
        <v>15667.442131365849</v>
      </c>
      <c r="AB51" s="106">
        <f>SUM(Y40:Y51)</f>
        <v>11344.780175576878</v>
      </c>
      <c r="AC51" s="70" t="s">
        <v>57</v>
      </c>
      <c r="AD51" s="70"/>
    </row>
    <row r="52" spans="2:30" x14ac:dyDescent="0.2">
      <c r="B52" s="99"/>
      <c r="C52" s="25"/>
      <c r="D52" s="98"/>
      <c r="E52" s="107"/>
      <c r="F52" s="77"/>
      <c r="H52" s="177"/>
      <c r="L52" s="1">
        <v>47</v>
      </c>
      <c r="M52" s="3">
        <v>44378</v>
      </c>
      <c r="N52" s="73">
        <f t="shared" si="2"/>
        <v>958.553779876455</v>
      </c>
      <c r="O52" s="73">
        <f t="shared" si="0"/>
        <v>12461.199138393868</v>
      </c>
      <c r="U52" s="1">
        <v>47</v>
      </c>
      <c r="V52" s="3">
        <v>44378</v>
      </c>
      <c r="W52" s="73">
        <f t="shared" si="3"/>
        <v>1000</v>
      </c>
      <c r="X52" s="73">
        <f>Z51*'Lessor Summary by (department)'!$S$7</f>
        <v>39.168605328414621</v>
      </c>
      <c r="Y52" s="73">
        <f>Table810[[#This Row],[Payment]]-Table810[[#This Row],[Interest]]</f>
        <v>960.83139467158537</v>
      </c>
      <c r="Z52" s="73">
        <f t="shared" si="1"/>
        <v>14706.610736694263</v>
      </c>
    </row>
    <row r="53" spans="2:30" x14ac:dyDescent="0.2">
      <c r="B53" s="99"/>
      <c r="C53" s="25"/>
      <c r="D53" s="98"/>
      <c r="E53" s="107"/>
      <c r="F53" s="77"/>
      <c r="H53" s="177"/>
      <c r="L53" s="1">
        <v>48</v>
      </c>
      <c r="M53" s="3">
        <v>44409</v>
      </c>
      <c r="N53" s="73">
        <f t="shared" si="2"/>
        <v>958.553779876455</v>
      </c>
      <c r="O53" s="73">
        <f t="shared" si="0"/>
        <v>11502.645358517413</v>
      </c>
      <c r="U53" s="1">
        <v>48</v>
      </c>
      <c r="V53" s="3">
        <v>44409</v>
      </c>
      <c r="W53" s="73">
        <f t="shared" si="3"/>
        <v>1000</v>
      </c>
      <c r="X53" s="73">
        <f>Z52*'Lessor Summary by (department)'!$S$7</f>
        <v>36.766526841735661</v>
      </c>
      <c r="Y53" s="73">
        <f>Table810[[#This Row],[Payment]]-Table810[[#This Row],[Interest]]</f>
        <v>963.23347315826436</v>
      </c>
      <c r="Z53" s="73">
        <f t="shared" si="1"/>
        <v>13743.377263535998</v>
      </c>
    </row>
    <row r="54" spans="2:30" ht="15" x14ac:dyDescent="0.25">
      <c r="B54" s="76"/>
      <c r="C54" s="95">
        <f>SUM(C49:C53)</f>
        <v>12000</v>
      </c>
      <c r="D54" s="91"/>
      <c r="E54" s="95">
        <f>SUM(E49:E53)</f>
        <v>12000</v>
      </c>
      <c r="F54" s="77"/>
      <c r="H54" s="177"/>
      <c r="L54" s="1">
        <v>49</v>
      </c>
      <c r="M54" s="3">
        <v>44440</v>
      </c>
      <c r="N54" s="73">
        <f t="shared" si="2"/>
        <v>958.553779876455</v>
      </c>
      <c r="O54" s="73">
        <f t="shared" si="0"/>
        <v>10544.091578640959</v>
      </c>
      <c r="U54" s="1">
        <v>49</v>
      </c>
      <c r="V54" s="3">
        <v>44440</v>
      </c>
      <c r="W54" s="73">
        <f t="shared" si="3"/>
        <v>1000</v>
      </c>
      <c r="X54" s="73">
        <f>Z53*'Lessor Summary by (department)'!$S$7</f>
        <v>34.358443158839997</v>
      </c>
      <c r="Y54" s="73">
        <f>Table810[[#This Row],[Payment]]-Table810[[#This Row],[Interest]]</f>
        <v>965.64155684115997</v>
      </c>
      <c r="Z54" s="73">
        <f t="shared" si="1"/>
        <v>12777.735706694839</v>
      </c>
    </row>
    <row r="55" spans="2:30" x14ac:dyDescent="0.2">
      <c r="B55" s="76"/>
      <c r="C55" s="68"/>
      <c r="D55" s="91"/>
      <c r="E55" s="68"/>
      <c r="F55" s="77"/>
      <c r="H55" s="177"/>
      <c r="L55" s="1">
        <v>50</v>
      </c>
      <c r="M55" s="3">
        <v>44470</v>
      </c>
      <c r="N55" s="73">
        <f t="shared" si="2"/>
        <v>958.553779876455</v>
      </c>
      <c r="O55" s="73">
        <f t="shared" si="0"/>
        <v>9585.5377987645043</v>
      </c>
      <c r="U55" s="1">
        <v>50</v>
      </c>
      <c r="V55" s="3">
        <v>44470</v>
      </c>
      <c r="W55" s="73">
        <f t="shared" si="3"/>
        <v>1000</v>
      </c>
      <c r="X55" s="73">
        <f>Z54*'Lessor Summary by (department)'!$S$7</f>
        <v>31.944339266737099</v>
      </c>
      <c r="Y55" s="73">
        <f>Table810[[#This Row],[Payment]]-Table810[[#This Row],[Interest]]</f>
        <v>968.05566073326293</v>
      </c>
      <c r="Z55" s="73">
        <f t="shared" si="1"/>
        <v>11809.680045961575</v>
      </c>
    </row>
    <row r="56" spans="2:30" ht="15" thickBot="1" x14ac:dyDescent="0.25">
      <c r="B56" s="167" t="s">
        <v>138</v>
      </c>
      <c r="C56" s="168"/>
      <c r="D56" s="168"/>
      <c r="E56" s="168"/>
      <c r="F56" s="169"/>
      <c r="H56" s="177"/>
      <c r="L56" s="1">
        <v>51</v>
      </c>
      <c r="M56" s="3">
        <v>44501</v>
      </c>
      <c r="N56" s="73">
        <f t="shared" si="2"/>
        <v>958.553779876455</v>
      </c>
      <c r="O56" s="73">
        <f t="shared" si="0"/>
        <v>8626.9840188880498</v>
      </c>
      <c r="U56" s="1">
        <v>51</v>
      </c>
      <c r="V56" s="3">
        <v>44501</v>
      </c>
      <c r="W56" s="73">
        <f t="shared" si="3"/>
        <v>1000</v>
      </c>
      <c r="X56" s="73">
        <f>Z55*'Lessor Summary by (department)'!$S$7</f>
        <v>29.524200114903937</v>
      </c>
      <c r="Y56" s="73">
        <f>Table810[[#This Row],[Payment]]-Table810[[#This Row],[Interest]]</f>
        <v>970.47579988509608</v>
      </c>
      <c r="Z56" s="73">
        <f t="shared" si="1"/>
        <v>10839.204246076479</v>
      </c>
    </row>
    <row r="57" spans="2:30" ht="15" thickBot="1" x14ac:dyDescent="0.25">
      <c r="B57" s="115"/>
      <c r="C57" s="115"/>
      <c r="D57" s="115"/>
      <c r="E57" s="115"/>
      <c r="F57" s="115"/>
      <c r="G57" s="115"/>
      <c r="H57" s="115"/>
      <c r="L57" s="1">
        <v>52</v>
      </c>
      <c r="M57" s="3">
        <v>44531</v>
      </c>
      <c r="N57" s="73">
        <f t="shared" si="2"/>
        <v>958.553779876455</v>
      </c>
      <c r="O57" s="73">
        <f t="shared" si="0"/>
        <v>7668.4302390115945</v>
      </c>
      <c r="U57" s="1">
        <v>52</v>
      </c>
      <c r="V57" s="3">
        <v>44531</v>
      </c>
      <c r="W57" s="73">
        <f t="shared" si="3"/>
        <v>1000</v>
      </c>
      <c r="X57" s="73">
        <f>Z56*'Lessor Summary by (department)'!$S$7</f>
        <v>27.098010615191196</v>
      </c>
      <c r="Y57" s="73">
        <f>Table810[[#This Row],[Payment]]-Table810[[#This Row],[Interest]]</f>
        <v>972.90198938480876</v>
      </c>
      <c r="Z57" s="73">
        <f t="shared" si="1"/>
        <v>9866.3022566916698</v>
      </c>
    </row>
    <row r="58" spans="2:30" ht="15" customHeight="1" x14ac:dyDescent="0.25">
      <c r="B58" s="165" t="s">
        <v>136</v>
      </c>
      <c r="C58" s="94" t="s">
        <v>42</v>
      </c>
      <c r="D58" s="93"/>
      <c r="E58" s="94" t="s">
        <v>43</v>
      </c>
      <c r="F58" s="75"/>
      <c r="H58" s="177" t="s">
        <v>135</v>
      </c>
      <c r="L58" s="1">
        <v>53</v>
      </c>
      <c r="M58" s="3">
        <v>44562</v>
      </c>
      <c r="N58" s="73">
        <f t="shared" si="2"/>
        <v>958.553779876455</v>
      </c>
      <c r="O58" s="73">
        <f t="shared" si="0"/>
        <v>6709.8764591351392</v>
      </c>
      <c r="U58" s="1">
        <v>53</v>
      </c>
      <c r="V58" s="3">
        <v>44562</v>
      </c>
      <c r="W58" s="73">
        <f t="shared" si="3"/>
        <v>1000</v>
      </c>
      <c r="X58" s="73">
        <f>Z57*'Lessor Summary by (department)'!$S$7</f>
        <v>24.665755641729174</v>
      </c>
      <c r="Y58" s="73">
        <f>Table810[[#This Row],[Payment]]-Table810[[#This Row],[Interest]]</f>
        <v>975.33424435827078</v>
      </c>
      <c r="Z58" s="73">
        <f t="shared" si="1"/>
        <v>8890.9680123333983</v>
      </c>
    </row>
    <row r="59" spans="2:30" x14ac:dyDescent="0.2">
      <c r="B59" s="166"/>
      <c r="C59" s="83"/>
      <c r="D59" s="91"/>
      <c r="E59" s="83"/>
      <c r="F59" s="77"/>
      <c r="H59" s="177"/>
      <c r="L59" s="1">
        <v>54</v>
      </c>
      <c r="M59" s="3">
        <v>44593</v>
      </c>
      <c r="N59" s="73">
        <f t="shared" si="2"/>
        <v>958.553779876455</v>
      </c>
      <c r="O59" s="73">
        <f t="shared" si="0"/>
        <v>5751.3226792586838</v>
      </c>
      <c r="U59" s="1">
        <v>54</v>
      </c>
      <c r="V59" s="3">
        <v>44593</v>
      </c>
      <c r="W59" s="73">
        <f t="shared" si="3"/>
        <v>1000</v>
      </c>
      <c r="X59" s="73">
        <f>Z58*'Lessor Summary by (department)'!$S$7</f>
        <v>22.227420030833496</v>
      </c>
      <c r="Y59" s="73">
        <f>Table810[[#This Row],[Payment]]-Table810[[#This Row],[Interest]]</f>
        <v>977.77257996916649</v>
      </c>
      <c r="Z59" s="73">
        <f t="shared" si="1"/>
        <v>7913.1954323642321</v>
      </c>
    </row>
    <row r="60" spans="2:30" x14ac:dyDescent="0.2">
      <c r="B60" s="99" t="s">
        <v>89</v>
      </c>
      <c r="C60" s="97">
        <f>Q28</f>
        <v>21088.183157282008</v>
      </c>
      <c r="D60" s="98"/>
      <c r="E60" s="25"/>
      <c r="F60" s="77" t="s">
        <v>144</v>
      </c>
      <c r="H60" s="177"/>
      <c r="L60" s="1">
        <v>55</v>
      </c>
      <c r="M60" s="3">
        <v>44621</v>
      </c>
      <c r="N60" s="73">
        <f t="shared" si="2"/>
        <v>958.553779876455</v>
      </c>
      <c r="O60" s="73">
        <f t="shared" si="0"/>
        <v>4792.7688993822285</v>
      </c>
      <c r="U60" s="1">
        <v>55</v>
      </c>
      <c r="V60" s="3">
        <v>44621</v>
      </c>
      <c r="W60" s="73">
        <f t="shared" si="3"/>
        <v>1000</v>
      </c>
      <c r="X60" s="73">
        <f>Z59*'Lessor Summary by (department)'!$S$7</f>
        <v>19.78298858091058</v>
      </c>
      <c r="Y60" s="73">
        <f>Table810[[#This Row],[Payment]]-Table810[[#This Row],[Interest]]</f>
        <v>980.21701141908943</v>
      </c>
      <c r="Z60" s="73">
        <f t="shared" si="1"/>
        <v>6932.9784209451427</v>
      </c>
    </row>
    <row r="61" spans="2:30" x14ac:dyDescent="0.2">
      <c r="B61" s="99" t="s">
        <v>45</v>
      </c>
      <c r="C61" s="25"/>
      <c r="D61" s="98"/>
      <c r="E61" s="97">
        <f>C60</f>
        <v>21088.183157282008</v>
      </c>
      <c r="F61" s="77" t="s">
        <v>144</v>
      </c>
      <c r="H61" s="177"/>
      <c r="L61" s="1">
        <v>56</v>
      </c>
      <c r="M61" s="3">
        <v>44652</v>
      </c>
      <c r="N61" s="73">
        <f t="shared" si="2"/>
        <v>958.553779876455</v>
      </c>
      <c r="O61" s="73">
        <f t="shared" si="0"/>
        <v>3834.2151195057736</v>
      </c>
      <c r="U61" s="1">
        <v>56</v>
      </c>
      <c r="V61" s="3">
        <v>44652</v>
      </c>
      <c r="W61" s="73">
        <f t="shared" si="3"/>
        <v>1000</v>
      </c>
      <c r="X61" s="73">
        <f>Z60*'Lessor Summary by (department)'!$S$7</f>
        <v>17.332446052362858</v>
      </c>
      <c r="Y61" s="73">
        <f>Table810[[#This Row],[Payment]]-Table810[[#This Row],[Interest]]</f>
        <v>982.66755394763709</v>
      </c>
      <c r="Z61" s="73">
        <f t="shared" si="1"/>
        <v>5950.3108669975054</v>
      </c>
    </row>
    <row r="62" spans="2:30" x14ac:dyDescent="0.2">
      <c r="B62" s="99"/>
      <c r="C62" s="25"/>
      <c r="D62" s="98"/>
      <c r="E62" s="97"/>
      <c r="F62" s="77"/>
      <c r="H62" s="177"/>
      <c r="L62" s="1">
        <v>57</v>
      </c>
      <c r="M62" s="3">
        <v>44682</v>
      </c>
      <c r="N62" s="73">
        <f t="shared" si="2"/>
        <v>958.553779876455</v>
      </c>
      <c r="O62" s="73">
        <f t="shared" si="0"/>
        <v>2875.6613396293187</v>
      </c>
      <c r="U62" s="1">
        <v>57</v>
      </c>
      <c r="V62" s="3">
        <v>44682</v>
      </c>
      <c r="W62" s="73">
        <f t="shared" si="3"/>
        <v>1000</v>
      </c>
      <c r="X62" s="73">
        <f>Z61*'Lessor Summary by (department)'!$S$7</f>
        <v>14.875777167493764</v>
      </c>
      <c r="Y62" s="73">
        <f>Table810[[#This Row],[Payment]]-Table810[[#This Row],[Interest]]</f>
        <v>985.12422283250623</v>
      </c>
      <c r="Z62" s="73">
        <f t="shared" si="1"/>
        <v>4965.1866441649991</v>
      </c>
    </row>
    <row r="63" spans="2:30" ht="15" x14ac:dyDescent="0.25">
      <c r="B63" s="99"/>
      <c r="C63" s="25"/>
      <c r="D63" s="98"/>
      <c r="E63" s="56"/>
      <c r="F63" s="77"/>
      <c r="H63" s="177"/>
      <c r="L63" s="1">
        <v>58</v>
      </c>
      <c r="M63" s="3">
        <v>44713</v>
      </c>
      <c r="N63" s="73">
        <f t="shared" si="2"/>
        <v>958.553779876455</v>
      </c>
      <c r="O63" s="73">
        <f t="shared" si="0"/>
        <v>1917.1075597528638</v>
      </c>
      <c r="Q63" s="106">
        <f>SUM(N52:N63)</f>
        <v>11502.645358517459</v>
      </c>
      <c r="R63" s="70" t="s">
        <v>57</v>
      </c>
      <c r="S63" s="70"/>
      <c r="T63" s="111"/>
      <c r="U63" s="1">
        <v>58</v>
      </c>
      <c r="V63" s="3">
        <v>44713</v>
      </c>
      <c r="W63" s="73">
        <f t="shared" si="3"/>
        <v>1000</v>
      </c>
      <c r="X63" s="73">
        <f>Z62*'Lessor Summary by (department)'!$S$7</f>
        <v>12.412966610412498</v>
      </c>
      <c r="Y63" s="73">
        <f>Table810[[#This Row],[Payment]]-Table810[[#This Row],[Interest]]</f>
        <v>987.58703338958753</v>
      </c>
      <c r="Z63" s="73">
        <f t="shared" si="1"/>
        <v>3977.5996107754117</v>
      </c>
      <c r="AB63" s="106">
        <f>SUM(Y52:Y63)</f>
        <v>11689.842520590433</v>
      </c>
      <c r="AC63" s="70" t="s">
        <v>57</v>
      </c>
      <c r="AD63" s="70"/>
    </row>
    <row r="64" spans="2:30" ht="15" x14ac:dyDescent="0.25">
      <c r="B64" s="76"/>
      <c r="C64" s="95">
        <f>SUM(C60:C63)</f>
        <v>21088.183157282008</v>
      </c>
      <c r="D64" s="91"/>
      <c r="E64" s="95">
        <f>SUM(E60:E63)</f>
        <v>21088.183157282008</v>
      </c>
      <c r="F64" s="77"/>
      <c r="H64" s="177"/>
      <c r="L64" s="1">
        <v>59</v>
      </c>
      <c r="M64" s="3">
        <v>44743</v>
      </c>
      <c r="N64" s="73">
        <f t="shared" si="2"/>
        <v>958.553779876455</v>
      </c>
      <c r="O64" s="73">
        <f t="shared" si="0"/>
        <v>958.55377987640884</v>
      </c>
      <c r="U64" s="1">
        <v>59</v>
      </c>
      <c r="V64" s="3">
        <v>44743</v>
      </c>
      <c r="W64" s="73">
        <f t="shared" si="3"/>
        <v>1000</v>
      </c>
      <c r="X64" s="73">
        <f>Z63*'Lessor Summary by (department)'!$S$7</f>
        <v>9.9439990269385294</v>
      </c>
      <c r="Y64" s="73">
        <f>Table810[[#This Row],[Payment]]-Table810[[#This Row],[Interest]]</f>
        <v>990.05600097306149</v>
      </c>
      <c r="Z64" s="73">
        <f t="shared" si="1"/>
        <v>2987.5436098023501</v>
      </c>
    </row>
    <row r="65" spans="2:30" ht="15" x14ac:dyDescent="0.25">
      <c r="B65" s="76"/>
      <c r="C65" s="68"/>
      <c r="D65" s="91"/>
      <c r="E65" s="68"/>
      <c r="F65" s="77"/>
      <c r="H65" s="177"/>
      <c r="L65" s="1">
        <v>60</v>
      </c>
      <c r="M65" s="3">
        <v>44774</v>
      </c>
      <c r="N65" s="73">
        <f t="shared" si="2"/>
        <v>958.553779876455</v>
      </c>
      <c r="O65" s="73">
        <f t="shared" si="0"/>
        <v>-4.6156856114976108E-11</v>
      </c>
      <c r="Q65" s="106">
        <f>SUM(N64:N65)</f>
        <v>1917.10755975291</v>
      </c>
      <c r="R65" s="70" t="s">
        <v>58</v>
      </c>
      <c r="S65" s="70"/>
      <c r="T65" s="111"/>
      <c r="U65" s="1">
        <v>60</v>
      </c>
      <c r="V65" s="3">
        <v>44774</v>
      </c>
      <c r="W65" s="73">
        <f>Z64+Table810[[#This Row],[Interest]]</f>
        <v>2995.0124688268561</v>
      </c>
      <c r="X65" s="73">
        <f>Z64*'Lessor Summary by (department)'!$S$7</f>
        <v>7.4688590245058757</v>
      </c>
      <c r="Y65" s="73">
        <f>Table810[[#This Row],[Payment]]-Table810[[#This Row],[Interest]]</f>
        <v>2987.5436098023501</v>
      </c>
      <c r="Z65" s="73">
        <f t="shared" si="1"/>
        <v>0</v>
      </c>
      <c r="AB65" s="106">
        <f>SUM(Y64:Y65)</f>
        <v>3977.5996107754117</v>
      </c>
      <c r="AC65" s="70" t="s">
        <v>58</v>
      </c>
      <c r="AD65" s="70"/>
    </row>
    <row r="66" spans="2:30" ht="15" thickBot="1" x14ac:dyDescent="0.25">
      <c r="B66" s="167" t="s">
        <v>137</v>
      </c>
      <c r="C66" s="168"/>
      <c r="D66" s="168"/>
      <c r="E66" s="168"/>
      <c r="F66" s="169"/>
      <c r="H66" s="177"/>
      <c r="L66" s="1">
        <v>61</v>
      </c>
      <c r="U66" s="1">
        <v>61</v>
      </c>
      <c r="Y66" s="73">
        <f>Table810[[#This Row],[Payment]]-Table810[[#This Row],[Interest]]</f>
        <v>0</v>
      </c>
    </row>
    <row r="67" spans="2:30" ht="15" thickBot="1" x14ac:dyDescent="0.25">
      <c r="H67" s="177"/>
      <c r="L67" s="1">
        <v>62</v>
      </c>
      <c r="U67" s="1">
        <v>62</v>
      </c>
      <c r="Y67" s="73">
        <f>Table810[[#This Row],[Payment]]-Table810[[#This Row],[Interest]]</f>
        <v>0</v>
      </c>
    </row>
    <row r="68" spans="2:30" ht="15" x14ac:dyDescent="0.25">
      <c r="B68" s="165" t="s">
        <v>139</v>
      </c>
      <c r="C68" s="94" t="s">
        <v>42</v>
      </c>
      <c r="D68" s="93"/>
      <c r="E68" s="94" t="s">
        <v>43</v>
      </c>
      <c r="F68" s="75"/>
      <c r="H68" s="177"/>
      <c r="L68" s="1">
        <v>63</v>
      </c>
      <c r="U68" s="1">
        <v>63</v>
      </c>
      <c r="Y68" s="73">
        <f>Table810[[#This Row],[Payment]]-Table810[[#This Row],[Interest]]</f>
        <v>0</v>
      </c>
    </row>
    <row r="69" spans="2:30" x14ac:dyDescent="0.2">
      <c r="B69" s="166"/>
      <c r="C69" s="83"/>
      <c r="D69" s="91"/>
      <c r="E69" s="83"/>
      <c r="F69" s="77"/>
      <c r="H69" s="177"/>
      <c r="L69" s="1">
        <v>64</v>
      </c>
      <c r="U69" s="1">
        <v>64</v>
      </c>
      <c r="Y69" s="73">
        <f>Table810[[#This Row],[Payment]]-Table810[[#This Row],[Interest]]</f>
        <v>0</v>
      </c>
    </row>
    <row r="70" spans="2:30" x14ac:dyDescent="0.2">
      <c r="B70" s="99" t="s">
        <v>89</v>
      </c>
      <c r="C70" s="97">
        <f>Q39</f>
        <v>11502.645358517459</v>
      </c>
      <c r="D70" s="98"/>
      <c r="E70" s="25"/>
      <c r="F70" s="77" t="s">
        <v>145</v>
      </c>
      <c r="H70" s="177"/>
      <c r="L70" s="1">
        <v>65</v>
      </c>
      <c r="U70" s="1">
        <v>65</v>
      </c>
      <c r="Y70" s="73">
        <f>Table810[[#This Row],[Payment]]-Table810[[#This Row],[Interest]]</f>
        <v>0</v>
      </c>
    </row>
    <row r="71" spans="2:30" x14ac:dyDescent="0.2">
      <c r="B71" s="99" t="s">
        <v>103</v>
      </c>
      <c r="C71" s="25"/>
      <c r="D71" s="98"/>
      <c r="E71" s="97">
        <f>C70</f>
        <v>11502.645358517459</v>
      </c>
      <c r="F71" s="77" t="s">
        <v>145</v>
      </c>
      <c r="H71" s="177"/>
      <c r="L71" s="1">
        <v>66</v>
      </c>
      <c r="U71" s="1">
        <v>66</v>
      </c>
      <c r="Y71" s="73">
        <f>Table810[[#This Row],[Payment]]-Table810[[#This Row],[Interest]]</f>
        <v>0</v>
      </c>
    </row>
    <row r="72" spans="2:30" x14ac:dyDescent="0.2">
      <c r="B72" s="99"/>
      <c r="C72" s="25"/>
      <c r="D72" s="98"/>
      <c r="E72" s="97"/>
      <c r="F72" s="77"/>
      <c r="H72" s="177"/>
      <c r="L72" s="1">
        <v>67</v>
      </c>
      <c r="U72" s="1">
        <v>67</v>
      </c>
      <c r="Y72" s="73">
        <f>Table810[[#This Row],[Payment]]-Table810[[#This Row],[Interest]]</f>
        <v>0</v>
      </c>
    </row>
    <row r="73" spans="2:30" x14ac:dyDescent="0.2">
      <c r="B73" s="99"/>
      <c r="C73" s="25"/>
      <c r="D73" s="98"/>
      <c r="E73" s="56"/>
      <c r="F73" s="77"/>
      <c r="H73" s="177"/>
      <c r="L73" s="1">
        <v>68</v>
      </c>
      <c r="U73" s="1">
        <v>68</v>
      </c>
      <c r="Y73" s="73">
        <f>Table810[[#This Row],[Payment]]-Table810[[#This Row],[Interest]]</f>
        <v>0</v>
      </c>
    </row>
    <row r="74" spans="2:30" ht="15" x14ac:dyDescent="0.25">
      <c r="B74" s="76"/>
      <c r="C74" s="95">
        <f>SUM(C70:C73)</f>
        <v>11502.645358517459</v>
      </c>
      <c r="D74" s="91"/>
      <c r="E74" s="95">
        <f>SUM(E70:E73)</f>
        <v>11502.645358517459</v>
      </c>
      <c r="F74" s="77"/>
      <c r="H74" s="177"/>
      <c r="L74" s="1">
        <v>69</v>
      </c>
      <c r="U74" s="1">
        <v>69</v>
      </c>
      <c r="Y74" s="73">
        <f>Table810[[#This Row],[Payment]]-Table810[[#This Row],[Interest]]</f>
        <v>0</v>
      </c>
    </row>
    <row r="75" spans="2:30" x14ac:dyDescent="0.2">
      <c r="B75" s="76"/>
      <c r="C75" s="68"/>
      <c r="D75" s="91"/>
      <c r="E75" s="68"/>
      <c r="F75" s="77"/>
      <c r="H75" s="177"/>
      <c r="L75" s="1">
        <v>70</v>
      </c>
      <c r="U75" s="1">
        <v>70</v>
      </c>
      <c r="Y75" s="73">
        <f>Table810[[#This Row],[Payment]]-Table810[[#This Row],[Interest]]</f>
        <v>0</v>
      </c>
    </row>
    <row r="76" spans="2:30" ht="15" thickBot="1" x14ac:dyDescent="0.25">
      <c r="B76" s="167" t="s">
        <v>59</v>
      </c>
      <c r="C76" s="168"/>
      <c r="D76" s="168"/>
      <c r="E76" s="168"/>
      <c r="F76" s="169"/>
      <c r="H76" s="177"/>
      <c r="L76" s="1">
        <v>71</v>
      </c>
      <c r="U76" s="1">
        <v>71</v>
      </c>
      <c r="Y76" s="73">
        <f>Table810[[#This Row],[Payment]]-Table810[[#This Row],[Interest]]</f>
        <v>0</v>
      </c>
    </row>
    <row r="77" spans="2:30" x14ac:dyDescent="0.2">
      <c r="H77" s="137"/>
      <c r="L77" s="1">
        <v>72</v>
      </c>
      <c r="U77" s="1">
        <v>72</v>
      </c>
      <c r="Y77" s="73">
        <f>Table810[[#This Row],[Payment]]-Table810[[#This Row],[Interest]]</f>
        <v>0</v>
      </c>
    </row>
    <row r="78" spans="2:30" ht="20.25" thickBot="1" x14ac:dyDescent="0.35">
      <c r="B78" s="176" t="s">
        <v>75</v>
      </c>
      <c r="C78" s="176"/>
      <c r="D78" s="176"/>
      <c r="E78" s="176"/>
      <c r="F78" s="176"/>
      <c r="H78" s="137"/>
      <c r="L78" s="1">
        <v>73</v>
      </c>
      <c r="U78" s="1">
        <v>73</v>
      </c>
      <c r="Y78" s="73">
        <f>Table810[[#This Row],[Payment]]-Table810[[#This Row],[Interest]]</f>
        <v>0</v>
      </c>
    </row>
    <row r="79" spans="2:30" ht="15.75" thickTop="1" thickBot="1" x14ac:dyDescent="0.25">
      <c r="H79" s="137"/>
      <c r="L79" s="1">
        <v>74</v>
      </c>
      <c r="U79" s="1">
        <v>74</v>
      </c>
      <c r="Y79" s="73">
        <f>Table810[[#This Row],[Payment]]-Table810[[#This Row],[Interest]]</f>
        <v>0</v>
      </c>
    </row>
    <row r="80" spans="2:30" ht="15" customHeight="1" x14ac:dyDescent="0.25">
      <c r="B80" s="165" t="s">
        <v>56</v>
      </c>
      <c r="C80" s="133" t="s">
        <v>42</v>
      </c>
      <c r="D80" s="93"/>
      <c r="E80" s="133" t="s">
        <v>43</v>
      </c>
      <c r="F80" s="75"/>
      <c r="H80" s="177" t="s">
        <v>134</v>
      </c>
      <c r="L80" s="1">
        <v>75</v>
      </c>
      <c r="U80" s="1">
        <v>75</v>
      </c>
      <c r="Y80" s="73">
        <f>Table810[[#This Row],[Payment]]-Table810[[#This Row],[Interest]]</f>
        <v>0</v>
      </c>
    </row>
    <row r="81" spans="2:25" ht="14.25" customHeight="1" x14ac:dyDescent="0.2">
      <c r="B81" s="166"/>
      <c r="C81" s="83"/>
      <c r="D81" s="91"/>
      <c r="E81" s="83"/>
      <c r="F81" s="77"/>
      <c r="H81" s="177"/>
      <c r="L81" s="1">
        <v>76</v>
      </c>
      <c r="U81" s="1">
        <v>76</v>
      </c>
      <c r="Y81" s="73">
        <f>Table810[[#This Row],[Payment]]-Table810[[#This Row],[Interest]]</f>
        <v>0</v>
      </c>
    </row>
    <row r="82" spans="2:25" x14ac:dyDescent="0.2">
      <c r="B82" s="99" t="s">
        <v>45</v>
      </c>
      <c r="C82" s="97">
        <f>E84</f>
        <v>61800</v>
      </c>
      <c r="D82" s="98"/>
      <c r="E82" s="25"/>
      <c r="F82" s="77" t="s">
        <v>124</v>
      </c>
      <c r="H82" s="177"/>
      <c r="L82" s="1">
        <v>77</v>
      </c>
      <c r="U82" s="1">
        <v>77</v>
      </c>
      <c r="Y82" s="73">
        <f>Table810[[#This Row],[Payment]]-Table810[[#This Row],[Interest]]</f>
        <v>0</v>
      </c>
    </row>
    <row r="83" spans="2:25" x14ac:dyDescent="0.2">
      <c r="B83" s="99"/>
      <c r="C83" s="107"/>
      <c r="D83" s="98"/>
      <c r="E83" s="97"/>
      <c r="F83" s="77"/>
      <c r="H83" s="177"/>
      <c r="L83" s="1">
        <v>78</v>
      </c>
      <c r="U83" s="1">
        <v>78</v>
      </c>
      <c r="Y83" s="73">
        <f>Table810[[#This Row],[Payment]]-Table810[[#This Row],[Interest]]</f>
        <v>0</v>
      </c>
    </row>
    <row r="84" spans="2:25" x14ac:dyDescent="0.2">
      <c r="B84" s="99" t="s">
        <v>67</v>
      </c>
      <c r="C84" s="25"/>
      <c r="D84" s="98"/>
      <c r="E84" s="97">
        <v>61800</v>
      </c>
      <c r="F84" s="77" t="s">
        <v>124</v>
      </c>
      <c r="H84" s="177"/>
      <c r="L84" s="1">
        <v>79</v>
      </c>
      <c r="U84" s="1">
        <v>79</v>
      </c>
      <c r="Y84" s="73">
        <f>Table810[[#This Row],[Payment]]-Table810[[#This Row],[Interest]]</f>
        <v>0</v>
      </c>
    </row>
    <row r="85" spans="2:25" x14ac:dyDescent="0.2">
      <c r="B85" s="99"/>
      <c r="C85" s="25"/>
      <c r="D85" s="98"/>
      <c r="E85" s="56"/>
      <c r="F85" s="77"/>
      <c r="H85" s="177"/>
      <c r="L85" s="1">
        <v>80</v>
      </c>
      <c r="U85" s="1">
        <v>80</v>
      </c>
      <c r="Y85" s="73">
        <f>Table810[[#This Row],[Payment]]-Table810[[#This Row],[Interest]]</f>
        <v>0</v>
      </c>
    </row>
    <row r="86" spans="2:25" ht="15" x14ac:dyDescent="0.25">
      <c r="B86" s="76"/>
      <c r="C86" s="95">
        <f>SUM(C82:C85)</f>
        <v>61800</v>
      </c>
      <c r="D86" s="91"/>
      <c r="E86" s="95">
        <f>SUM(E82:E85)</f>
        <v>61800</v>
      </c>
      <c r="F86" s="77"/>
      <c r="H86" s="177"/>
      <c r="L86" s="1">
        <v>81</v>
      </c>
      <c r="U86" s="1">
        <v>81</v>
      </c>
      <c r="Y86" s="73">
        <f>Table810[[#This Row],[Payment]]-Table810[[#This Row],[Interest]]</f>
        <v>0</v>
      </c>
    </row>
    <row r="87" spans="2:25" x14ac:dyDescent="0.2">
      <c r="B87" s="76"/>
      <c r="C87" s="68"/>
      <c r="D87" s="91"/>
      <c r="E87" s="68"/>
      <c r="F87" s="77"/>
      <c r="H87" s="177"/>
      <c r="L87" s="1">
        <v>82</v>
      </c>
      <c r="U87" s="1">
        <v>82</v>
      </c>
      <c r="Y87" s="73">
        <f>Table810[[#This Row],[Payment]]-Table810[[#This Row],[Interest]]</f>
        <v>0</v>
      </c>
    </row>
    <row r="88" spans="2:25" ht="15" thickBot="1" x14ac:dyDescent="0.25">
      <c r="B88" s="167" t="s">
        <v>125</v>
      </c>
      <c r="C88" s="168"/>
      <c r="D88" s="168"/>
      <c r="E88" s="168"/>
      <c r="F88" s="169"/>
      <c r="H88" s="177"/>
      <c r="L88" s="1">
        <v>83</v>
      </c>
      <c r="U88" s="1">
        <v>83</v>
      </c>
      <c r="Y88" s="73">
        <f>Table810[[#This Row],[Payment]]-Table810[[#This Row],[Interest]]</f>
        <v>0</v>
      </c>
    </row>
    <row r="89" spans="2:25" ht="15" thickBot="1" x14ac:dyDescent="0.25">
      <c r="H89" s="177"/>
      <c r="L89" s="1">
        <v>84</v>
      </c>
      <c r="U89" s="1">
        <v>84</v>
      </c>
      <c r="Y89" s="73">
        <f>Table810[[#This Row],[Payment]]-Table810[[#This Row],[Interest]]</f>
        <v>0</v>
      </c>
    </row>
    <row r="90" spans="2:25" ht="15" customHeight="1" x14ac:dyDescent="0.25">
      <c r="B90" s="96" t="s">
        <v>55</v>
      </c>
      <c r="C90" s="133" t="s">
        <v>42</v>
      </c>
      <c r="D90" s="93"/>
      <c r="E90" s="133" t="s">
        <v>43</v>
      </c>
      <c r="F90" s="75"/>
      <c r="H90" s="177"/>
      <c r="L90" s="1">
        <v>85</v>
      </c>
      <c r="U90" s="1">
        <v>85</v>
      </c>
      <c r="Y90" s="73">
        <f>Table810[[#This Row],[Payment]]-Table810[[#This Row],[Interest]]</f>
        <v>0</v>
      </c>
    </row>
    <row r="91" spans="2:25" ht="14.25" customHeight="1" x14ac:dyDescent="0.2">
      <c r="B91" s="76"/>
      <c r="C91" s="83"/>
      <c r="D91" s="91"/>
      <c r="E91" s="83"/>
      <c r="F91" s="77"/>
      <c r="H91" s="177"/>
      <c r="L91" s="1">
        <v>86</v>
      </c>
      <c r="U91" s="1">
        <v>86</v>
      </c>
      <c r="Y91" s="73">
        <f>Table810[[#This Row],[Payment]]-Table810[[#This Row],[Interest]]</f>
        <v>0</v>
      </c>
    </row>
    <row r="92" spans="2:25" x14ac:dyDescent="0.2">
      <c r="B92" s="99" t="s">
        <v>67</v>
      </c>
      <c r="C92" s="97">
        <f>$C$9</f>
        <v>57513.226792587302</v>
      </c>
      <c r="D92" s="98"/>
      <c r="E92" s="25"/>
      <c r="F92" s="77" t="s">
        <v>140</v>
      </c>
      <c r="H92" s="177"/>
      <c r="L92" s="1">
        <v>87</v>
      </c>
      <c r="U92" s="1">
        <v>87</v>
      </c>
      <c r="Y92" s="73">
        <f>Table810[[#This Row],[Payment]]-Table810[[#This Row],[Interest]]</f>
        <v>0</v>
      </c>
    </row>
    <row r="93" spans="2:25" x14ac:dyDescent="0.2">
      <c r="B93" s="99"/>
      <c r="C93" s="25"/>
      <c r="D93" s="98"/>
      <c r="E93" s="97"/>
      <c r="F93" s="77"/>
      <c r="H93" s="177"/>
      <c r="L93" s="1">
        <v>88</v>
      </c>
      <c r="U93" s="1">
        <v>88</v>
      </c>
      <c r="Y93" s="73">
        <f>Table810[[#This Row],[Payment]]-Table810[[#This Row],[Interest]]</f>
        <v>0</v>
      </c>
    </row>
    <row r="94" spans="2:25" x14ac:dyDescent="0.2">
      <c r="B94" s="99" t="s">
        <v>41</v>
      </c>
      <c r="C94" s="25"/>
      <c r="D94" s="98"/>
      <c r="E94" s="97">
        <f>C92</f>
        <v>57513.226792587302</v>
      </c>
      <c r="F94" s="77" t="s">
        <v>140</v>
      </c>
      <c r="H94" s="177"/>
      <c r="L94" s="1">
        <v>89</v>
      </c>
      <c r="U94" s="1">
        <v>89</v>
      </c>
      <c r="Y94" s="73">
        <f>Table810[[#This Row],[Payment]]-Table810[[#This Row],[Interest]]</f>
        <v>0</v>
      </c>
    </row>
    <row r="95" spans="2:25" x14ac:dyDescent="0.2">
      <c r="B95" s="99"/>
      <c r="C95" s="25"/>
      <c r="D95" s="98"/>
      <c r="E95" s="56"/>
      <c r="F95" s="77"/>
      <c r="H95" s="177"/>
      <c r="L95" s="1">
        <v>90</v>
      </c>
      <c r="U95" s="1">
        <v>90</v>
      </c>
      <c r="Y95" s="73">
        <f>Table810[[#This Row],[Payment]]-Table810[[#This Row],[Interest]]</f>
        <v>0</v>
      </c>
    </row>
    <row r="96" spans="2:25" ht="15" x14ac:dyDescent="0.25">
      <c r="B96" s="76"/>
      <c r="C96" s="95">
        <f>SUM(C92:C95)</f>
        <v>57513.226792587302</v>
      </c>
      <c r="D96" s="91"/>
      <c r="E96" s="95">
        <f>SUM(E92:E95)</f>
        <v>57513.226792587302</v>
      </c>
      <c r="F96" s="77"/>
      <c r="H96" s="177"/>
      <c r="L96" s="1">
        <v>91</v>
      </c>
      <c r="U96" s="1">
        <v>91</v>
      </c>
      <c r="Y96" s="73">
        <f>Table810[[#This Row],[Payment]]-Table810[[#This Row],[Interest]]</f>
        <v>0</v>
      </c>
    </row>
    <row r="97" spans="2:25" x14ac:dyDescent="0.2">
      <c r="B97" s="76"/>
      <c r="C97" s="68"/>
      <c r="D97" s="91"/>
      <c r="E97" s="68"/>
      <c r="F97" s="77"/>
      <c r="H97" s="177"/>
      <c r="L97" s="1">
        <v>92</v>
      </c>
      <c r="U97" s="1">
        <v>92</v>
      </c>
      <c r="Y97" s="73">
        <f>Table810[[#This Row],[Payment]]-Table810[[#This Row],[Interest]]</f>
        <v>0</v>
      </c>
    </row>
    <row r="98" spans="2:25" ht="15" thickBot="1" x14ac:dyDescent="0.25">
      <c r="B98" s="167" t="s">
        <v>129</v>
      </c>
      <c r="C98" s="168"/>
      <c r="D98" s="168"/>
      <c r="E98" s="168"/>
      <c r="F98" s="169"/>
      <c r="H98" s="177"/>
      <c r="L98" s="1">
        <v>93</v>
      </c>
      <c r="U98" s="1">
        <v>93</v>
      </c>
      <c r="Y98" s="73">
        <f>Table810[[#This Row],[Payment]]-Table810[[#This Row],[Interest]]</f>
        <v>0</v>
      </c>
    </row>
    <row r="99" spans="2:25" ht="15" customHeight="1" thickBot="1" x14ac:dyDescent="0.25">
      <c r="H99" s="177"/>
      <c r="L99" s="1">
        <v>94</v>
      </c>
      <c r="U99" s="1">
        <v>94</v>
      </c>
      <c r="Y99" s="73">
        <f>Table810[[#This Row],[Payment]]-Table810[[#This Row],[Interest]]</f>
        <v>0</v>
      </c>
    </row>
    <row r="100" spans="2:25" ht="15" x14ac:dyDescent="0.25">
      <c r="B100" s="165" t="s">
        <v>130</v>
      </c>
      <c r="C100" s="133" t="s">
        <v>42</v>
      </c>
      <c r="D100" s="93"/>
      <c r="E100" s="133" t="s">
        <v>43</v>
      </c>
      <c r="F100" s="75"/>
      <c r="H100" s="177"/>
      <c r="L100" s="1">
        <v>95</v>
      </c>
      <c r="U100" s="1">
        <v>95</v>
      </c>
      <c r="Y100" s="73">
        <f>Table810[[#This Row],[Payment]]-Table810[[#This Row],[Interest]]</f>
        <v>0</v>
      </c>
    </row>
    <row r="101" spans="2:25" x14ac:dyDescent="0.2">
      <c r="B101" s="166"/>
      <c r="C101" s="83"/>
      <c r="D101" s="91"/>
      <c r="E101" s="83"/>
      <c r="F101" s="77"/>
      <c r="H101" s="177"/>
      <c r="L101" s="1">
        <v>96</v>
      </c>
      <c r="U101" s="1">
        <v>96</v>
      </c>
      <c r="Y101" s="73">
        <f>Table810[[#This Row],[Payment]]-Table810[[#This Row],[Interest]]</f>
        <v>0</v>
      </c>
    </row>
    <row r="102" spans="2:25" x14ac:dyDescent="0.2">
      <c r="B102" s="99" t="s">
        <v>45</v>
      </c>
      <c r="C102" s="97">
        <f>$E$40</f>
        <v>19491.101058334643</v>
      </c>
      <c r="D102" s="98"/>
      <c r="E102" s="25"/>
      <c r="F102" s="77" t="s">
        <v>141</v>
      </c>
      <c r="H102" s="177"/>
      <c r="L102" s="1">
        <v>97</v>
      </c>
      <c r="U102" s="1">
        <v>97</v>
      </c>
      <c r="Y102" s="73">
        <f>Table810[[#This Row],[Payment]]-Table810[[#This Row],[Interest]]</f>
        <v>0</v>
      </c>
    </row>
    <row r="103" spans="2:25" x14ac:dyDescent="0.2">
      <c r="B103" s="99" t="s">
        <v>67</v>
      </c>
      <c r="C103" s="25"/>
      <c r="D103" s="98"/>
      <c r="E103" s="97">
        <f>$AB$28</f>
        <v>19491.101058334643</v>
      </c>
      <c r="F103" s="77" t="s">
        <v>141</v>
      </c>
      <c r="H103" s="177"/>
      <c r="L103" s="1">
        <v>98</v>
      </c>
      <c r="U103" s="1">
        <v>98</v>
      </c>
      <c r="Y103" s="73">
        <f>Table810[[#This Row],[Payment]]-Table810[[#This Row],[Interest]]</f>
        <v>0</v>
      </c>
    </row>
    <row r="104" spans="2:25" x14ac:dyDescent="0.2">
      <c r="B104" s="99"/>
      <c r="C104" s="25"/>
      <c r="D104" s="98"/>
      <c r="E104" s="97"/>
      <c r="F104" s="77"/>
      <c r="H104" s="177"/>
      <c r="L104" s="1">
        <v>99</v>
      </c>
      <c r="U104" s="1">
        <v>99</v>
      </c>
      <c r="Y104" s="73">
        <f>Table810[[#This Row],[Payment]]-Table810[[#This Row],[Interest]]</f>
        <v>0</v>
      </c>
    </row>
    <row r="105" spans="2:25" x14ac:dyDescent="0.2">
      <c r="B105" s="99"/>
      <c r="C105" s="25"/>
      <c r="D105" s="98"/>
      <c r="E105" s="56"/>
      <c r="F105" s="77"/>
      <c r="H105" s="177"/>
      <c r="L105" s="1">
        <v>100</v>
      </c>
      <c r="U105" s="1">
        <v>100</v>
      </c>
      <c r="Y105" s="73">
        <f>Table810[[#This Row],[Payment]]-Table810[[#This Row],[Interest]]</f>
        <v>0</v>
      </c>
    </row>
    <row r="106" spans="2:25" ht="15" x14ac:dyDescent="0.25">
      <c r="B106" s="76"/>
      <c r="C106" s="95">
        <f>SUM(C102:C105)</f>
        <v>19491.101058334643</v>
      </c>
      <c r="D106" s="91"/>
      <c r="E106" s="95">
        <f>SUM(E102:E105)</f>
        <v>19491.101058334643</v>
      </c>
      <c r="F106" s="77"/>
      <c r="H106" s="177"/>
    </row>
    <row r="107" spans="2:25" x14ac:dyDescent="0.2">
      <c r="B107" s="76"/>
      <c r="C107" s="68"/>
      <c r="D107" s="91"/>
      <c r="E107" s="68"/>
      <c r="F107" s="77"/>
      <c r="H107" s="177"/>
    </row>
    <row r="108" spans="2:25" ht="15" thickBot="1" x14ac:dyDescent="0.25">
      <c r="B108" s="167" t="s">
        <v>131</v>
      </c>
      <c r="C108" s="168"/>
      <c r="D108" s="168"/>
      <c r="E108" s="168"/>
      <c r="F108" s="169"/>
      <c r="H108" s="177"/>
    </row>
    <row r="109" spans="2:25" ht="15" thickBot="1" x14ac:dyDescent="0.25">
      <c r="H109" s="177"/>
    </row>
    <row r="110" spans="2:25" ht="15" x14ac:dyDescent="0.25">
      <c r="B110" s="96" t="s">
        <v>132</v>
      </c>
      <c r="C110" s="133"/>
      <c r="D110" s="93"/>
      <c r="E110" s="133"/>
      <c r="F110" s="75"/>
      <c r="H110" s="177"/>
    </row>
    <row r="111" spans="2:25" x14ac:dyDescent="0.2">
      <c r="B111" s="108"/>
      <c r="C111" s="83"/>
      <c r="D111" s="91"/>
      <c r="E111" s="83"/>
      <c r="F111" s="77"/>
      <c r="H111" s="177"/>
    </row>
    <row r="112" spans="2:25" x14ac:dyDescent="0.2">
      <c r="B112" s="99" t="s">
        <v>70</v>
      </c>
      <c r="C112" s="97">
        <f>E113+E114</f>
        <v>12000</v>
      </c>
      <c r="D112" s="98"/>
      <c r="E112" s="107"/>
      <c r="F112" s="77" t="s">
        <v>142</v>
      </c>
      <c r="H112" s="177"/>
    </row>
    <row r="113" spans="2:8" x14ac:dyDescent="0.2">
      <c r="B113" s="99" t="s">
        <v>67</v>
      </c>
      <c r="C113" s="25"/>
      <c r="D113" s="98"/>
      <c r="E113" s="107">
        <f>AC39</f>
        <v>11009.903427309941</v>
      </c>
      <c r="F113" s="77" t="s">
        <v>143</v>
      </c>
      <c r="H113" s="177"/>
    </row>
    <row r="114" spans="2:8" x14ac:dyDescent="0.2">
      <c r="B114" s="99" t="s">
        <v>69</v>
      </c>
      <c r="C114" s="107"/>
      <c r="D114" s="98"/>
      <c r="E114" s="107">
        <f>AB39</f>
        <v>990.09657269005913</v>
      </c>
      <c r="F114" s="77" t="s">
        <v>97</v>
      </c>
      <c r="H114" s="177"/>
    </row>
    <row r="115" spans="2:8" x14ac:dyDescent="0.2">
      <c r="B115" s="99"/>
      <c r="C115" s="25"/>
      <c r="D115" s="98"/>
      <c r="E115" s="107"/>
      <c r="F115" s="77"/>
      <c r="H115" s="177"/>
    </row>
    <row r="116" spans="2:8" x14ac:dyDescent="0.2">
      <c r="B116" s="99"/>
      <c r="C116" s="25"/>
      <c r="D116" s="98"/>
      <c r="E116" s="107"/>
      <c r="F116" s="77"/>
      <c r="H116" s="177"/>
    </row>
    <row r="117" spans="2:8" ht="15" x14ac:dyDescent="0.25">
      <c r="B117" s="76"/>
      <c r="C117" s="95">
        <f>SUM(C112:C116)</f>
        <v>12000</v>
      </c>
      <c r="D117" s="91"/>
      <c r="E117" s="95">
        <f>SUM(E112:E116)</f>
        <v>12000</v>
      </c>
      <c r="F117" s="77"/>
      <c r="H117" s="177"/>
    </row>
    <row r="118" spans="2:8" x14ac:dyDescent="0.2">
      <c r="B118" s="76"/>
      <c r="C118" s="68"/>
      <c r="D118" s="91"/>
      <c r="E118" s="68"/>
      <c r="F118" s="77"/>
      <c r="H118" s="177"/>
    </row>
    <row r="119" spans="2:8" ht="15" thickBot="1" x14ac:dyDescent="0.25">
      <c r="B119" s="167" t="s">
        <v>138</v>
      </c>
      <c r="C119" s="168"/>
      <c r="D119" s="168"/>
      <c r="E119" s="168"/>
      <c r="F119" s="169"/>
      <c r="H119" s="177"/>
    </row>
    <row r="121" spans="2:8" x14ac:dyDescent="0.2">
      <c r="H121" s="114"/>
    </row>
    <row r="122" spans="2:8" x14ac:dyDescent="0.2">
      <c r="H122" s="114"/>
    </row>
    <row r="123" spans="2:8" x14ac:dyDescent="0.2">
      <c r="H123" s="114"/>
    </row>
    <row r="124" spans="2:8" x14ac:dyDescent="0.2">
      <c r="H124" s="114"/>
    </row>
    <row r="125" spans="2:8" x14ac:dyDescent="0.2">
      <c r="H125" s="114"/>
    </row>
    <row r="126" spans="2:8" x14ac:dyDescent="0.2">
      <c r="H126" s="114"/>
    </row>
    <row r="127" spans="2:8" x14ac:dyDescent="0.2">
      <c r="H127" s="114"/>
    </row>
    <row r="128" spans="2:8" x14ac:dyDescent="0.2">
      <c r="H128" s="114"/>
    </row>
    <row r="129" spans="8:8" x14ac:dyDescent="0.2">
      <c r="H129" s="114"/>
    </row>
    <row r="130" spans="8:8" x14ac:dyDescent="0.2">
      <c r="H130" s="114"/>
    </row>
    <row r="131" spans="8:8" x14ac:dyDescent="0.2">
      <c r="H131" s="114"/>
    </row>
    <row r="132" spans="8:8" x14ac:dyDescent="0.2">
      <c r="H132" s="114"/>
    </row>
    <row r="133" spans="8:8" x14ac:dyDescent="0.2">
      <c r="H133" s="114"/>
    </row>
    <row r="134" spans="8:8" x14ac:dyDescent="0.2">
      <c r="H134" s="114"/>
    </row>
    <row r="135" spans="8:8" x14ac:dyDescent="0.2">
      <c r="H135" s="114"/>
    </row>
    <row r="136" spans="8:8" x14ac:dyDescent="0.2">
      <c r="H136" s="114"/>
    </row>
    <row r="137" spans="8:8" x14ac:dyDescent="0.2">
      <c r="H137" s="114"/>
    </row>
    <row r="138" spans="8:8" x14ac:dyDescent="0.2">
      <c r="H138" s="114"/>
    </row>
    <row r="139" spans="8:8" x14ac:dyDescent="0.2">
      <c r="H139" s="109"/>
    </row>
    <row r="140" spans="8:8" x14ac:dyDescent="0.2">
      <c r="H140" s="114"/>
    </row>
    <row r="141" spans="8:8" x14ac:dyDescent="0.2">
      <c r="H141" s="114"/>
    </row>
    <row r="142" spans="8:8" x14ac:dyDescent="0.2">
      <c r="H142" s="114"/>
    </row>
    <row r="143" spans="8:8" x14ac:dyDescent="0.2">
      <c r="H143" s="114"/>
    </row>
    <row r="144" spans="8:8" x14ac:dyDescent="0.2">
      <c r="H144" s="114"/>
    </row>
    <row r="145" spans="8:8" x14ac:dyDescent="0.2">
      <c r="H145" s="114"/>
    </row>
    <row r="146" spans="8:8" x14ac:dyDescent="0.2">
      <c r="H146" s="114"/>
    </row>
    <row r="147" spans="8:8" x14ac:dyDescent="0.2">
      <c r="H147" s="114"/>
    </row>
    <row r="148" spans="8:8" x14ac:dyDescent="0.2">
      <c r="H148" s="114"/>
    </row>
    <row r="149" spans="8:8" x14ac:dyDescent="0.2">
      <c r="H149" s="114"/>
    </row>
    <row r="150" spans="8:8" x14ac:dyDescent="0.2">
      <c r="H150" s="114"/>
    </row>
    <row r="151" spans="8:8" x14ac:dyDescent="0.2">
      <c r="H151" s="114"/>
    </row>
    <row r="152" spans="8:8" x14ac:dyDescent="0.2">
      <c r="H152" s="114"/>
    </row>
    <row r="153" spans="8:8" x14ac:dyDescent="0.2">
      <c r="H153" s="114"/>
    </row>
    <row r="154" spans="8:8" x14ac:dyDescent="0.2">
      <c r="H154" s="114"/>
    </row>
    <row r="155" spans="8:8" x14ac:dyDescent="0.2">
      <c r="H155" s="114"/>
    </row>
    <row r="156" spans="8:8" x14ac:dyDescent="0.2">
      <c r="H156" s="114"/>
    </row>
    <row r="157" spans="8:8" x14ac:dyDescent="0.2">
      <c r="H157" s="114"/>
    </row>
    <row r="158" spans="8:8" x14ac:dyDescent="0.2">
      <c r="H158" s="114"/>
    </row>
    <row r="159" spans="8:8" x14ac:dyDescent="0.2">
      <c r="H159" s="114"/>
    </row>
    <row r="160" spans="8:8" x14ac:dyDescent="0.2">
      <c r="H160" s="114"/>
    </row>
    <row r="161" spans="8:8" x14ac:dyDescent="0.2">
      <c r="H161" s="114"/>
    </row>
    <row r="162" spans="8:8" x14ac:dyDescent="0.2">
      <c r="H162" s="114"/>
    </row>
    <row r="163" spans="8:8" x14ac:dyDescent="0.2">
      <c r="H163" s="114"/>
    </row>
    <row r="164" spans="8:8" x14ac:dyDescent="0.2">
      <c r="H164" s="114"/>
    </row>
    <row r="165" spans="8:8" x14ac:dyDescent="0.2">
      <c r="H165" s="114"/>
    </row>
    <row r="166" spans="8:8" x14ac:dyDescent="0.2">
      <c r="H166" s="114"/>
    </row>
    <row r="167" spans="8:8" x14ac:dyDescent="0.2">
      <c r="H167" s="114"/>
    </row>
    <row r="168" spans="8:8" x14ac:dyDescent="0.2">
      <c r="H168" s="114"/>
    </row>
    <row r="169" spans="8:8" x14ac:dyDescent="0.2">
      <c r="H169" s="114"/>
    </row>
    <row r="170" spans="8:8" x14ac:dyDescent="0.2">
      <c r="H170" s="114"/>
    </row>
    <row r="171" spans="8:8" x14ac:dyDescent="0.2">
      <c r="H171" s="114"/>
    </row>
    <row r="172" spans="8:8" x14ac:dyDescent="0.2">
      <c r="H172" s="114"/>
    </row>
    <row r="173" spans="8:8" x14ac:dyDescent="0.2">
      <c r="H173" s="114"/>
    </row>
    <row r="174" spans="8:8" x14ac:dyDescent="0.2">
      <c r="H174" s="114"/>
    </row>
    <row r="175" spans="8:8" x14ac:dyDescent="0.2">
      <c r="H175" s="114"/>
    </row>
    <row r="176" spans="8:8" x14ac:dyDescent="0.2">
      <c r="H176" s="114"/>
    </row>
    <row r="177" spans="8:8" x14ac:dyDescent="0.2">
      <c r="H177" s="114"/>
    </row>
    <row r="178" spans="8:8" x14ac:dyDescent="0.2">
      <c r="H178" s="114"/>
    </row>
    <row r="179" spans="8:8" x14ac:dyDescent="0.2">
      <c r="H179" s="114"/>
    </row>
  </sheetData>
  <mergeCells count="27">
    <mergeCell ref="B100:B101"/>
    <mergeCell ref="H80:H119"/>
    <mergeCell ref="AC28:AD28"/>
    <mergeCell ref="B25:F25"/>
    <mergeCell ref="B35:F35"/>
    <mergeCell ref="B45:F45"/>
    <mergeCell ref="B56:F56"/>
    <mergeCell ref="B58:B59"/>
    <mergeCell ref="B66:F66"/>
    <mergeCell ref="R28:S28"/>
    <mergeCell ref="H17:H56"/>
    <mergeCell ref="B78:F78"/>
    <mergeCell ref="B80:B81"/>
    <mergeCell ref="B88:F88"/>
    <mergeCell ref="B98:F98"/>
    <mergeCell ref="B108:F108"/>
    <mergeCell ref="B119:F119"/>
    <mergeCell ref="B68:B69"/>
    <mergeCell ref="B76:F76"/>
    <mergeCell ref="U3:Z3"/>
    <mergeCell ref="B7:C7"/>
    <mergeCell ref="E7:F7"/>
    <mergeCell ref="B15:F15"/>
    <mergeCell ref="L3:O3"/>
    <mergeCell ref="B17:B18"/>
    <mergeCell ref="B37:B38"/>
    <mergeCell ref="H58:H76"/>
  </mergeCells>
  <conditionalFormatting sqref="J19">
    <cfRule type="expression" priority="3">
      <formula>$I$3="Y"</formula>
    </cfRule>
  </conditionalFormatting>
  <conditionalFormatting sqref="B15:F15">
    <cfRule type="expression" dxfId="31" priority="2">
      <formula>$I$3="Y"</formula>
    </cfRule>
  </conditionalFormatting>
  <conditionalFormatting sqref="B78:F78">
    <cfRule type="expression" dxfId="30" priority="1">
      <formula>$I$4="Y"</formula>
    </cfRule>
  </conditionalFormatting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70C29-7E23-45D7-854A-C1D5B003815F}">
  <dimension ref="B1:AE152"/>
  <sheetViews>
    <sheetView showGridLines="0" tabSelected="1" topLeftCell="I1" workbookViewId="0">
      <selection activeCell="R12" sqref="R12"/>
    </sheetView>
  </sheetViews>
  <sheetFormatPr defaultColWidth="9.140625" defaultRowHeight="14.25" x14ac:dyDescent="0.2"/>
  <cols>
    <col min="1" max="1" width="1.7109375" style="1" customWidth="1"/>
    <col min="2" max="2" width="28.5703125" style="1" customWidth="1"/>
    <col min="3" max="3" width="21.5703125" style="1" bestFit="1" customWidth="1"/>
    <col min="4" max="4" width="1.7109375" style="1" customWidth="1"/>
    <col min="5" max="5" width="26.140625" style="1" bestFit="1" customWidth="1"/>
    <col min="6" max="6" width="23.7109375" style="1" bestFit="1" customWidth="1"/>
    <col min="7" max="7" width="1.7109375" style="1" customWidth="1"/>
    <col min="8" max="8" width="21.5703125" style="1" bestFit="1" customWidth="1"/>
    <col min="9" max="9" width="9.140625" style="1"/>
    <col min="10" max="10" width="7.85546875" style="1" bestFit="1" customWidth="1"/>
    <col min="11" max="11" width="9.140625" style="1"/>
    <col min="12" max="12" width="19.5703125" style="1" bestFit="1" customWidth="1"/>
    <col min="13" max="13" width="12" style="1" customWidth="1"/>
    <col min="14" max="14" width="16" style="1" bestFit="1" customWidth="1"/>
    <col min="15" max="15" width="13.5703125" style="1" bestFit="1" customWidth="1"/>
    <col min="16" max="16" width="9.140625" style="1"/>
    <col min="17" max="17" width="12.7109375" style="1" bestFit="1" customWidth="1"/>
    <col min="18" max="19" width="12.140625" style="1" customWidth="1"/>
    <col min="20" max="20" width="1.7109375" style="109" customWidth="1"/>
    <col min="21" max="21" width="9.140625" style="1"/>
    <col min="22" max="22" width="12" style="1" bestFit="1" customWidth="1"/>
    <col min="23" max="23" width="11.5703125" style="1" bestFit="1" customWidth="1"/>
    <col min="24" max="24" width="11.140625" style="1" bestFit="1" customWidth="1"/>
    <col min="25" max="25" width="12.140625" style="1" bestFit="1" customWidth="1"/>
    <col min="26" max="26" width="14.7109375" style="1" bestFit="1" customWidth="1"/>
    <col min="27" max="27" width="9.140625" style="1"/>
    <col min="28" max="30" width="12.7109375" style="1" bestFit="1" customWidth="1"/>
    <col min="31" max="16384" width="9.140625" style="1"/>
  </cols>
  <sheetData>
    <row r="1" spans="2:30" ht="26.25" x14ac:dyDescent="0.4">
      <c r="B1" s="105" t="s">
        <v>98</v>
      </c>
      <c r="C1" s="105"/>
      <c r="D1" s="105"/>
      <c r="E1" s="105"/>
      <c r="F1" s="105"/>
      <c r="G1" s="105"/>
      <c r="H1" s="105"/>
      <c r="I1" s="105"/>
      <c r="J1" s="105"/>
    </row>
    <row r="2" spans="2:30" ht="15.75" thickBot="1" x14ac:dyDescent="0.3">
      <c r="J2" s="70" t="s">
        <v>40</v>
      </c>
    </row>
    <row r="3" spans="2:30" ht="15.75" thickBot="1" x14ac:dyDescent="0.3">
      <c r="B3" s="71" t="str">
        <f>Table6[[#Headers],[Item '#]]</f>
        <v>Item #</v>
      </c>
      <c r="C3" s="72">
        <f>'Lessor Summary by (department)'!A9</f>
        <v>1</v>
      </c>
      <c r="E3" s="100" t="s">
        <v>65</v>
      </c>
      <c r="F3" s="101">
        <f>'Lessor Summary by (department)'!T9</f>
        <v>60</v>
      </c>
      <c r="H3" s="87" t="s">
        <v>39</v>
      </c>
      <c r="I3" s="89" t="s">
        <v>26</v>
      </c>
      <c r="J3" s="88">
        <v>100</v>
      </c>
      <c r="L3" s="170" t="s">
        <v>94</v>
      </c>
      <c r="M3" s="171"/>
      <c r="N3" s="171"/>
      <c r="O3" s="172"/>
      <c r="U3" s="170" t="s">
        <v>95</v>
      </c>
      <c r="V3" s="171"/>
      <c r="W3" s="171"/>
      <c r="X3" s="171"/>
      <c r="Y3" s="171"/>
      <c r="Z3" s="172"/>
    </row>
    <row r="4" spans="2:30" ht="15.75" thickBot="1" x14ac:dyDescent="0.3">
      <c r="B4" s="71" t="str">
        <f>Table6[[#Headers],[Lease Description]]</f>
        <v>Lease Description</v>
      </c>
      <c r="C4" s="72" t="str">
        <f>'Lessor Summary by (department)'!B9</f>
        <v>554 main street, #1</v>
      </c>
      <c r="H4" s="87" t="s">
        <v>38</v>
      </c>
      <c r="I4" s="147" t="s">
        <v>34</v>
      </c>
      <c r="J4" s="88"/>
      <c r="L4" s="103" t="s">
        <v>46</v>
      </c>
      <c r="M4" s="103" t="s">
        <v>47</v>
      </c>
      <c r="N4" s="1" t="s">
        <v>48</v>
      </c>
      <c r="O4" s="102" t="s">
        <v>49</v>
      </c>
      <c r="U4" s="103" t="s">
        <v>46</v>
      </c>
      <c r="V4" s="103" t="s">
        <v>47</v>
      </c>
      <c r="W4" s="1" t="s">
        <v>60</v>
      </c>
      <c r="X4" s="1" t="s">
        <v>61</v>
      </c>
      <c r="Y4" s="1" t="s">
        <v>62</v>
      </c>
      <c r="Z4" s="102" t="s">
        <v>49</v>
      </c>
    </row>
    <row r="5" spans="2:30" ht="15.75" thickBot="1" x14ac:dyDescent="0.3">
      <c r="H5" s="125"/>
      <c r="I5" s="126"/>
      <c r="J5" s="127"/>
      <c r="L5" s="104" t="s">
        <v>44</v>
      </c>
      <c r="M5" s="103"/>
      <c r="O5" s="102">
        <f>F13</f>
        <v>55980.065797572614</v>
      </c>
      <c r="U5" s="104" t="s">
        <v>44</v>
      </c>
      <c r="V5" s="103"/>
      <c r="Y5" s="73">
        <f>Table8106[[#This Row],[Payment]]-Table8106[[#This Row],[Interest]]</f>
        <v>0</v>
      </c>
      <c r="Z5" s="102">
        <f>F9</f>
        <v>54480.065797572614</v>
      </c>
    </row>
    <row r="6" spans="2:30" x14ac:dyDescent="0.2">
      <c r="B6" s="16"/>
      <c r="C6" s="17"/>
      <c r="D6" s="90"/>
      <c r="E6" s="17"/>
      <c r="F6" s="75"/>
      <c r="L6" s="1">
        <v>1</v>
      </c>
      <c r="M6" s="3">
        <f>'Lessor Summary by (department)'!F9</f>
        <v>44378</v>
      </c>
      <c r="N6" s="73">
        <f>O5/F3</f>
        <v>933.00109662621026</v>
      </c>
      <c r="O6" s="73">
        <f>O5-N6</f>
        <v>55047.064700946401</v>
      </c>
      <c r="Q6" s="3"/>
      <c r="U6" s="1">
        <v>1</v>
      </c>
      <c r="V6" s="3">
        <f>'Lessor Summary by (department)'!F9</f>
        <v>44378</v>
      </c>
      <c r="W6" s="73">
        <f>'Lessor Summary by (department)'!G7</f>
        <v>1000</v>
      </c>
      <c r="X6" s="73">
        <v>0</v>
      </c>
      <c r="Y6" s="73">
        <f>Table8106[[#This Row],[Payment]]-Table8106[[#This Row],[Interest]]</f>
        <v>1000</v>
      </c>
      <c r="Z6" s="73">
        <f>Z5-Y6</f>
        <v>53480.065797572614</v>
      </c>
    </row>
    <row r="7" spans="2:30" ht="15" x14ac:dyDescent="0.25">
      <c r="B7" s="173" t="s">
        <v>88</v>
      </c>
      <c r="C7" s="174"/>
      <c r="D7" s="91"/>
      <c r="E7" s="174" t="s">
        <v>87</v>
      </c>
      <c r="F7" s="175"/>
      <c r="L7" s="1">
        <v>2</v>
      </c>
      <c r="M7" s="3">
        <v>44409</v>
      </c>
      <c r="N7" s="73">
        <f>N6</f>
        <v>933.00109662621026</v>
      </c>
      <c r="O7" s="73">
        <f t="shared" ref="O7:O65" si="0">O6-N7</f>
        <v>54114.063604320188</v>
      </c>
      <c r="U7" s="1">
        <v>2</v>
      </c>
      <c r="V7" s="3">
        <v>44409</v>
      </c>
      <c r="W7" s="73">
        <f>W6</f>
        <v>1000</v>
      </c>
      <c r="X7" s="73">
        <f>Z6*'Lessor Summary by (department)'!$S$9</f>
        <v>178.26688599190874</v>
      </c>
      <c r="Y7" s="73">
        <f>Table8106[[#This Row],[Payment]]-Table8106[[#This Row],[Interest]]</f>
        <v>821.73311400809121</v>
      </c>
      <c r="Z7" s="73">
        <f t="shared" ref="Z7:Z65" si="1">Z6-Y7</f>
        <v>52658.33268356452</v>
      </c>
    </row>
    <row r="8" spans="2:30" x14ac:dyDescent="0.2">
      <c r="B8" s="76"/>
      <c r="C8" s="68"/>
      <c r="D8" s="91"/>
      <c r="E8" s="68"/>
      <c r="F8" s="77"/>
      <c r="L8" s="1">
        <v>3</v>
      </c>
      <c r="M8" s="3">
        <v>44440</v>
      </c>
      <c r="N8" s="73">
        <f t="shared" ref="N8:N65" si="2">N7</f>
        <v>933.00109662621026</v>
      </c>
      <c r="O8" s="73">
        <f t="shared" si="0"/>
        <v>53181.062507693976</v>
      </c>
      <c r="U8" s="1">
        <v>3</v>
      </c>
      <c r="V8" s="3">
        <v>44440</v>
      </c>
      <c r="W8" s="73">
        <f t="shared" ref="W8:W64" si="3">W7</f>
        <v>1000</v>
      </c>
      <c r="X8" s="73">
        <f>Z7*'Lessor Summary by (department)'!$S$9</f>
        <v>175.52777561188174</v>
      </c>
      <c r="Y8" s="73">
        <f>Table8106[[#This Row],[Payment]]-Table8106[[#This Row],[Interest]]</f>
        <v>824.47222438811832</v>
      </c>
      <c r="Z8" s="73">
        <f t="shared" si="1"/>
        <v>51833.860459176401</v>
      </c>
    </row>
    <row r="9" spans="2:30" x14ac:dyDescent="0.2">
      <c r="B9" s="78" t="s">
        <v>66</v>
      </c>
      <c r="C9" s="79">
        <f>ABS('Lessor Summary by (department)'!X9)</f>
        <v>54480.065797572614</v>
      </c>
      <c r="D9" s="91"/>
      <c r="E9" s="80" t="s">
        <v>66</v>
      </c>
      <c r="F9" s="81">
        <f>'Lessor Summary by (department)'!X9*-1</f>
        <v>54480.065797572614</v>
      </c>
      <c r="L9" s="1">
        <v>4</v>
      </c>
      <c r="M9" s="3">
        <v>44470</v>
      </c>
      <c r="N9" s="73">
        <f t="shared" si="2"/>
        <v>933.00109662621026</v>
      </c>
      <c r="O9" s="73">
        <f t="shared" si="0"/>
        <v>52248.061411067763</v>
      </c>
      <c r="U9" s="1">
        <v>4</v>
      </c>
      <c r="V9" s="3">
        <v>44470</v>
      </c>
      <c r="W9" s="73">
        <f t="shared" si="3"/>
        <v>1000</v>
      </c>
      <c r="X9" s="73">
        <f>Z8*'Lessor Summary by (department)'!$S$9</f>
        <v>172.77953486392136</v>
      </c>
      <c r="Y9" s="73">
        <f>Table8106[[#This Row],[Payment]]-Table8106[[#This Row],[Interest]]</f>
        <v>827.2204651360787</v>
      </c>
      <c r="Z9" s="73">
        <f t="shared" si="1"/>
        <v>51006.639994040321</v>
      </c>
    </row>
    <row r="10" spans="2:30" x14ac:dyDescent="0.2">
      <c r="B10" s="78"/>
      <c r="C10" s="82"/>
      <c r="D10" s="91"/>
      <c r="E10" s="78" t="s">
        <v>100</v>
      </c>
      <c r="F10" s="82">
        <f>'Lessor Summary by (department)'!E9</f>
        <v>1500</v>
      </c>
      <c r="L10" s="1">
        <v>5</v>
      </c>
      <c r="M10" s="3">
        <v>44501</v>
      </c>
      <c r="N10" s="73">
        <f t="shared" si="2"/>
        <v>933.00109662621026</v>
      </c>
      <c r="O10" s="73">
        <f t="shared" si="0"/>
        <v>51315.060314441551</v>
      </c>
      <c r="U10" s="1">
        <v>5</v>
      </c>
      <c r="V10" s="3">
        <v>44501</v>
      </c>
      <c r="W10" s="73">
        <f t="shared" si="3"/>
        <v>1000</v>
      </c>
      <c r="X10" s="73">
        <f>Z9*'Lessor Summary by (department)'!$S$9</f>
        <v>170.02213331346775</v>
      </c>
      <c r="Y10" s="73">
        <f>Table8106[[#This Row],[Payment]]-Table8106[[#This Row],[Interest]]</f>
        <v>829.97786668653225</v>
      </c>
      <c r="Z10" s="73">
        <f t="shared" si="1"/>
        <v>50176.662127353789</v>
      </c>
    </row>
    <row r="11" spans="2:30" x14ac:dyDescent="0.2">
      <c r="B11" s="78"/>
      <c r="C11" s="83"/>
      <c r="D11" s="91"/>
      <c r="E11" s="68"/>
      <c r="F11" s="77"/>
      <c r="L11" s="1">
        <v>6</v>
      </c>
      <c r="M11" s="3">
        <v>44531</v>
      </c>
      <c r="N11" s="73">
        <f t="shared" si="2"/>
        <v>933.00109662621026</v>
      </c>
      <c r="O11" s="73">
        <f t="shared" si="0"/>
        <v>50382.059217815338</v>
      </c>
      <c r="U11" s="1">
        <v>6</v>
      </c>
      <c r="V11" s="3">
        <v>44531</v>
      </c>
      <c r="W11" s="73">
        <f t="shared" si="3"/>
        <v>1000</v>
      </c>
      <c r="X11" s="73">
        <f>Z10*'Lessor Summary by (department)'!$S$9</f>
        <v>167.25554042451265</v>
      </c>
      <c r="Y11" s="73">
        <f>Table8106[[#This Row],[Payment]]-Table8106[[#This Row],[Interest]]</f>
        <v>832.74445957548733</v>
      </c>
      <c r="Z11" s="73">
        <f t="shared" si="1"/>
        <v>49343.917667778303</v>
      </c>
    </row>
    <row r="12" spans="2:30" x14ac:dyDescent="0.2">
      <c r="B12" s="78" t="s">
        <v>101</v>
      </c>
      <c r="C12" s="79">
        <f>SUM(C9:C11)</f>
        <v>54480.065797572614</v>
      </c>
      <c r="D12" s="91"/>
      <c r="E12" s="68"/>
      <c r="F12" s="77"/>
      <c r="L12" s="1">
        <v>7</v>
      </c>
      <c r="M12" s="3">
        <v>44562</v>
      </c>
      <c r="N12" s="73">
        <f t="shared" si="2"/>
        <v>933.00109662621026</v>
      </c>
      <c r="O12" s="73">
        <f t="shared" si="0"/>
        <v>49449.058121189126</v>
      </c>
      <c r="U12" s="1">
        <v>7</v>
      </c>
      <c r="V12" s="3">
        <v>44562</v>
      </c>
      <c r="W12" s="73">
        <f t="shared" si="3"/>
        <v>1000</v>
      </c>
      <c r="X12" s="73">
        <f>Z11*'Lessor Summary by (department)'!$S$9</f>
        <v>164.47972555926103</v>
      </c>
      <c r="Y12" s="73">
        <f>Table8106[[#This Row],[Payment]]-Table8106[[#This Row],[Interest]]</f>
        <v>835.52027444073894</v>
      </c>
      <c r="Z12" s="73">
        <f t="shared" si="1"/>
        <v>48508.397393337567</v>
      </c>
    </row>
    <row r="13" spans="2:30" ht="15" thickBot="1" x14ac:dyDescent="0.25">
      <c r="B13" s="84"/>
      <c r="C13" s="85"/>
      <c r="D13" s="92"/>
      <c r="E13" s="85" t="s">
        <v>102</v>
      </c>
      <c r="F13" s="139">
        <f>SUM(F9:F12)</f>
        <v>55980.065797572614</v>
      </c>
      <c r="L13" s="1">
        <v>8</v>
      </c>
      <c r="M13" s="3">
        <v>44593</v>
      </c>
      <c r="N13" s="73">
        <f t="shared" si="2"/>
        <v>933.00109662621026</v>
      </c>
      <c r="O13" s="73">
        <f t="shared" si="0"/>
        <v>48516.057024562913</v>
      </c>
      <c r="U13" s="1">
        <v>8</v>
      </c>
      <c r="V13" s="3">
        <v>44593</v>
      </c>
      <c r="W13" s="73">
        <f t="shared" si="3"/>
        <v>1000</v>
      </c>
      <c r="X13" s="73">
        <f>Z12*'Lessor Summary by (department)'!$S$9</f>
        <v>161.69465797779191</v>
      </c>
      <c r="Y13" s="73">
        <f>Table8106[[#This Row],[Payment]]-Table8106[[#This Row],[Interest]]</f>
        <v>838.30534202220815</v>
      </c>
      <c r="Z13" s="73">
        <f t="shared" si="1"/>
        <v>47670.092051315361</v>
      </c>
    </row>
    <row r="14" spans="2:30" x14ac:dyDescent="0.2">
      <c r="L14" s="1">
        <v>9</v>
      </c>
      <c r="M14" s="3">
        <v>44621</v>
      </c>
      <c r="N14" s="73">
        <f t="shared" si="2"/>
        <v>933.00109662621026</v>
      </c>
      <c r="O14" s="73">
        <f t="shared" si="0"/>
        <v>47583.055927936701</v>
      </c>
      <c r="U14" s="1">
        <v>9</v>
      </c>
      <c r="V14" s="3">
        <v>44621</v>
      </c>
      <c r="W14" s="73">
        <f t="shared" si="3"/>
        <v>1000</v>
      </c>
      <c r="X14" s="73">
        <f>Z13*'Lessor Summary by (department)'!$S$9</f>
        <v>158.90030683771789</v>
      </c>
      <c r="Y14" s="73">
        <f>Table8106[[#This Row],[Payment]]-Table8106[[#This Row],[Interest]]</f>
        <v>841.09969316228216</v>
      </c>
      <c r="Z14" s="73">
        <f t="shared" si="1"/>
        <v>46828.992358153082</v>
      </c>
    </row>
    <row r="15" spans="2:30" ht="20.25" customHeight="1" thickBot="1" x14ac:dyDescent="0.35">
      <c r="B15" s="176" t="s">
        <v>76</v>
      </c>
      <c r="C15" s="176"/>
      <c r="D15" s="176"/>
      <c r="E15" s="176"/>
      <c r="F15" s="176"/>
      <c r="H15" s="177" t="s">
        <v>67</v>
      </c>
      <c r="L15" s="1">
        <v>10</v>
      </c>
      <c r="M15" s="3">
        <v>44652</v>
      </c>
      <c r="N15" s="73">
        <f t="shared" si="2"/>
        <v>933.00109662621026</v>
      </c>
      <c r="O15" s="73">
        <f t="shared" si="0"/>
        <v>46650.054831310488</v>
      </c>
      <c r="U15" s="1">
        <v>10</v>
      </c>
      <c r="V15" s="3">
        <v>44652</v>
      </c>
      <c r="W15" s="73">
        <f t="shared" si="3"/>
        <v>1000</v>
      </c>
      <c r="X15" s="73">
        <f>Z14*'Lessor Summary by (department)'!$S$9</f>
        <v>156.09664119384362</v>
      </c>
      <c r="Y15" s="73">
        <f>Table8106[[#This Row],[Payment]]-Table8106[[#This Row],[Interest]]</f>
        <v>843.90335880615635</v>
      </c>
      <c r="Z15" s="73">
        <f t="shared" si="1"/>
        <v>45985.088999346925</v>
      </c>
    </row>
    <row r="16" spans="2:30" ht="15.75" thickTop="1" thickBot="1" x14ac:dyDescent="0.25">
      <c r="B16" s="124" t="s">
        <v>77</v>
      </c>
      <c r="C16" s="124"/>
      <c r="D16" s="124"/>
      <c r="E16" s="124"/>
      <c r="F16" s="124"/>
      <c r="H16" s="177"/>
      <c r="L16" s="1">
        <v>11</v>
      </c>
      <c r="M16" s="3">
        <v>44682</v>
      </c>
      <c r="N16" s="73">
        <f t="shared" si="2"/>
        <v>933.00109662621026</v>
      </c>
      <c r="O16" s="73">
        <f t="shared" si="0"/>
        <v>45717.053734684276</v>
      </c>
      <c r="Q16" s="109"/>
      <c r="R16" s="109"/>
      <c r="S16" s="109"/>
      <c r="U16" s="1">
        <v>11</v>
      </c>
      <c r="V16" s="3">
        <v>44682</v>
      </c>
      <c r="W16" s="73">
        <f t="shared" si="3"/>
        <v>1000</v>
      </c>
      <c r="X16" s="73">
        <f>Z15*'Lessor Summary by (department)'!$S$9</f>
        <v>153.28362999782308</v>
      </c>
      <c r="Y16" s="73">
        <f>Table8106[[#This Row],[Payment]]-Table8106[[#This Row],[Interest]]</f>
        <v>846.71637000217697</v>
      </c>
      <c r="Z16" s="73">
        <f t="shared" si="1"/>
        <v>45138.372629344747</v>
      </c>
      <c r="AB16" s="109"/>
      <c r="AC16" s="109"/>
      <c r="AD16" s="109"/>
    </row>
    <row r="17" spans="2:31" ht="15" customHeight="1" x14ac:dyDescent="0.25">
      <c r="B17" s="165" t="s">
        <v>105</v>
      </c>
      <c r="C17" s="133" t="s">
        <v>42</v>
      </c>
      <c r="D17" s="93"/>
      <c r="E17" s="133" t="s">
        <v>43</v>
      </c>
      <c r="F17" s="75"/>
      <c r="H17" s="177"/>
      <c r="L17" s="1">
        <v>12</v>
      </c>
      <c r="M17" s="3">
        <v>44713</v>
      </c>
      <c r="N17" s="73">
        <f t="shared" si="2"/>
        <v>933.00109662621026</v>
      </c>
      <c r="O17" s="73">
        <f t="shared" si="0"/>
        <v>44784.052638058063</v>
      </c>
      <c r="Q17" s="106">
        <f>SUM(N6:N17)</f>
        <v>11196.013159514527</v>
      </c>
      <c r="R17" s="70" t="s">
        <v>57</v>
      </c>
      <c r="S17" s="70"/>
      <c r="U17" s="1">
        <v>12</v>
      </c>
      <c r="V17" s="3">
        <v>44713</v>
      </c>
      <c r="W17" s="73">
        <f t="shared" si="3"/>
        <v>1000</v>
      </c>
      <c r="X17" s="73">
        <f>Z16*'Lessor Summary by (department)'!$S$9</f>
        <v>150.46124209781584</v>
      </c>
      <c r="Y17" s="73">
        <f>Table8106[[#This Row],[Payment]]-Table8106[[#This Row],[Interest]]</f>
        <v>849.53875790218422</v>
      </c>
      <c r="Z17" s="73">
        <f t="shared" si="1"/>
        <v>44288.833871442563</v>
      </c>
      <c r="AB17" s="106">
        <f>SUM(W6:W17)</f>
        <v>12000</v>
      </c>
      <c r="AC17" s="106">
        <f>SUM(X6:X17)</f>
        <v>1808.7680738699453</v>
      </c>
      <c r="AD17" s="106">
        <f>SUM(Y6:Y17)</f>
        <v>10191.231926130056</v>
      </c>
      <c r="AE17" s="70" t="s">
        <v>57</v>
      </c>
    </row>
    <row r="18" spans="2:31" x14ac:dyDescent="0.2">
      <c r="B18" s="166"/>
      <c r="C18" s="83"/>
      <c r="D18" s="91"/>
      <c r="E18" s="83"/>
      <c r="F18" s="77"/>
      <c r="H18" s="177"/>
      <c r="L18" s="1">
        <v>13</v>
      </c>
      <c r="M18" s="3">
        <v>44743</v>
      </c>
      <c r="N18" s="73">
        <f t="shared" si="2"/>
        <v>933.00109662621026</v>
      </c>
      <c r="O18" s="73">
        <f t="shared" si="0"/>
        <v>43851.051541431851</v>
      </c>
      <c r="Q18" s="109"/>
      <c r="R18" s="109"/>
      <c r="S18" s="109"/>
      <c r="U18" s="1">
        <v>13</v>
      </c>
      <c r="V18" s="3">
        <v>44743</v>
      </c>
      <c r="W18" s="73">
        <f t="shared" si="3"/>
        <v>1000</v>
      </c>
      <c r="X18" s="73">
        <f>Z17*'Lessor Summary by (department)'!$S$9</f>
        <v>147.6294462381419</v>
      </c>
      <c r="Y18" s="73">
        <f>Table8106[[#This Row],[Payment]]-Table8106[[#This Row],[Interest]]</f>
        <v>852.3705537618581</v>
      </c>
      <c r="Z18" s="73">
        <f t="shared" si="1"/>
        <v>43436.463317680704</v>
      </c>
      <c r="AB18" s="109"/>
      <c r="AC18" s="109"/>
      <c r="AD18" s="109"/>
    </row>
    <row r="19" spans="2:31" x14ac:dyDescent="0.2">
      <c r="B19" s="99" t="s">
        <v>67</v>
      </c>
      <c r="C19" s="97">
        <f>C9</f>
        <v>54480.065797572614</v>
      </c>
      <c r="D19" s="98"/>
      <c r="E19" s="25"/>
      <c r="F19" s="77" t="s">
        <v>90</v>
      </c>
      <c r="H19" s="177"/>
      <c r="L19" s="1">
        <v>14</v>
      </c>
      <c r="M19" s="3">
        <v>44774</v>
      </c>
      <c r="N19" s="73">
        <f t="shared" si="2"/>
        <v>933.00109662621026</v>
      </c>
      <c r="O19" s="73">
        <f t="shared" si="0"/>
        <v>42918.050444805638</v>
      </c>
      <c r="Q19" s="109"/>
      <c r="R19" s="109"/>
      <c r="S19" s="109"/>
      <c r="U19" s="1">
        <v>14</v>
      </c>
      <c r="V19" s="3">
        <v>44774</v>
      </c>
      <c r="W19" s="73">
        <f t="shared" si="3"/>
        <v>1000</v>
      </c>
      <c r="X19" s="73">
        <f>Z18*'Lessor Summary by (department)'!$S$9</f>
        <v>144.7882110589357</v>
      </c>
      <c r="Y19" s="73">
        <f>Table8106[[#This Row],[Payment]]-Table8106[[#This Row],[Interest]]</f>
        <v>855.21178894106424</v>
      </c>
      <c r="Z19" s="73">
        <f t="shared" si="1"/>
        <v>42581.251528739638</v>
      </c>
      <c r="AB19" s="109"/>
      <c r="AC19" s="109"/>
      <c r="AD19" s="109"/>
    </row>
    <row r="20" spans="2:31" x14ac:dyDescent="0.2">
      <c r="B20" s="99" t="s">
        <v>70</v>
      </c>
      <c r="C20" s="107">
        <f>F10</f>
        <v>1500</v>
      </c>
      <c r="D20" s="98"/>
      <c r="E20" s="97"/>
      <c r="F20" s="77" t="s">
        <v>91</v>
      </c>
      <c r="H20" s="177"/>
      <c r="L20" s="1">
        <v>15</v>
      </c>
      <c r="M20" s="3">
        <v>44805</v>
      </c>
      <c r="N20" s="73">
        <f t="shared" si="2"/>
        <v>933.00109662621026</v>
      </c>
      <c r="O20" s="73">
        <f t="shared" si="0"/>
        <v>41985.049348179426</v>
      </c>
      <c r="Q20" s="109"/>
      <c r="R20" s="109"/>
      <c r="S20" s="109"/>
      <c r="U20" s="1">
        <v>15</v>
      </c>
      <c r="V20" s="3">
        <v>44805</v>
      </c>
      <c r="W20" s="73">
        <f t="shared" si="3"/>
        <v>1000</v>
      </c>
      <c r="X20" s="73">
        <f>Z19*'Lessor Summary by (department)'!$S$9</f>
        <v>141.9375050957988</v>
      </c>
      <c r="Y20" s="73">
        <f>Table8106[[#This Row],[Payment]]-Table8106[[#This Row],[Interest]]</f>
        <v>858.06249490420123</v>
      </c>
      <c r="Z20" s="73">
        <f t="shared" si="1"/>
        <v>41723.189033835435</v>
      </c>
      <c r="AB20" s="109"/>
      <c r="AC20" s="109"/>
      <c r="AD20" s="109"/>
    </row>
    <row r="21" spans="2:31" x14ac:dyDescent="0.2">
      <c r="B21" s="99" t="s">
        <v>89</v>
      </c>
      <c r="C21" s="25"/>
      <c r="D21" s="98"/>
      <c r="E21" s="97">
        <f>F13</f>
        <v>55980.065797572614</v>
      </c>
      <c r="F21" s="77" t="s">
        <v>92</v>
      </c>
      <c r="H21" s="177"/>
      <c r="L21" s="1">
        <v>16</v>
      </c>
      <c r="M21" s="3">
        <v>44835</v>
      </c>
      <c r="N21" s="73">
        <f t="shared" si="2"/>
        <v>933.00109662621026</v>
      </c>
      <c r="O21" s="73">
        <f t="shared" si="0"/>
        <v>41052.048251553213</v>
      </c>
      <c r="Q21" s="109"/>
      <c r="R21" s="109"/>
      <c r="S21" s="109"/>
      <c r="U21" s="1">
        <v>16</v>
      </c>
      <c r="V21" s="3">
        <v>44835</v>
      </c>
      <c r="W21" s="73">
        <f t="shared" si="3"/>
        <v>1000</v>
      </c>
      <c r="X21" s="73">
        <f>Z20*'Lessor Summary by (department)'!$S$9</f>
        <v>139.07729677945147</v>
      </c>
      <c r="Y21" s="73">
        <f>Table8106[[#This Row],[Payment]]-Table8106[[#This Row],[Interest]]</f>
        <v>860.92270322054856</v>
      </c>
      <c r="Z21" s="73">
        <f t="shared" si="1"/>
        <v>40862.26633061489</v>
      </c>
      <c r="AB21" s="109"/>
      <c r="AC21" s="109"/>
      <c r="AD21" s="109"/>
    </row>
    <row r="22" spans="2:31" x14ac:dyDescent="0.2">
      <c r="B22" s="99"/>
      <c r="C22" s="25"/>
      <c r="D22" s="98"/>
      <c r="E22" s="56"/>
      <c r="F22" s="77"/>
      <c r="H22" s="177"/>
      <c r="L22" s="1">
        <v>17</v>
      </c>
      <c r="M22" s="3">
        <v>44866</v>
      </c>
      <c r="N22" s="73">
        <f t="shared" si="2"/>
        <v>933.00109662621026</v>
      </c>
      <c r="O22" s="73">
        <f t="shared" si="0"/>
        <v>40119.047154927001</v>
      </c>
      <c r="Q22" s="109"/>
      <c r="R22" s="109"/>
      <c r="S22" s="109"/>
      <c r="U22" s="1">
        <v>17</v>
      </c>
      <c r="V22" s="3">
        <v>44866</v>
      </c>
      <c r="W22" s="73">
        <f t="shared" si="3"/>
        <v>1000</v>
      </c>
      <c r="X22" s="73">
        <f>Z21*'Lessor Summary by (department)'!$S$9</f>
        <v>136.20755443538297</v>
      </c>
      <c r="Y22" s="73">
        <f>Table8106[[#This Row],[Payment]]-Table8106[[#This Row],[Interest]]</f>
        <v>863.79244556461708</v>
      </c>
      <c r="Z22" s="73">
        <f t="shared" si="1"/>
        <v>39998.473885050276</v>
      </c>
      <c r="AB22" s="109"/>
      <c r="AC22" s="109"/>
      <c r="AD22" s="109"/>
    </row>
    <row r="23" spans="2:31" ht="15" x14ac:dyDescent="0.25">
      <c r="B23" s="76"/>
      <c r="C23" s="95">
        <f>SUM(C19:C22)</f>
        <v>55980.065797572614</v>
      </c>
      <c r="D23" s="91"/>
      <c r="E23" s="95">
        <f>SUM(E19:E22)</f>
        <v>55980.065797572614</v>
      </c>
      <c r="F23" s="77"/>
      <c r="H23" s="177"/>
      <c r="L23" s="1">
        <v>18</v>
      </c>
      <c r="M23" s="3">
        <v>44896</v>
      </c>
      <c r="N23" s="73">
        <f t="shared" si="2"/>
        <v>933.00109662621026</v>
      </c>
      <c r="O23" s="73">
        <f t="shared" si="0"/>
        <v>39186.046058300788</v>
      </c>
      <c r="Q23" s="109"/>
      <c r="R23" s="109"/>
      <c r="S23" s="109"/>
      <c r="U23" s="1">
        <v>18</v>
      </c>
      <c r="V23" s="3">
        <v>44896</v>
      </c>
      <c r="W23" s="73">
        <f t="shared" si="3"/>
        <v>1000</v>
      </c>
      <c r="X23" s="73">
        <f>Z22*'Lessor Summary by (department)'!$S$9</f>
        <v>133.32824628350093</v>
      </c>
      <c r="Y23" s="73">
        <f>Table8106[[#This Row],[Payment]]-Table8106[[#This Row],[Interest]]</f>
        <v>866.6717537164991</v>
      </c>
      <c r="Z23" s="73">
        <f t="shared" si="1"/>
        <v>39131.802131333774</v>
      </c>
      <c r="AB23" s="109"/>
      <c r="AC23" s="109"/>
      <c r="AD23" s="109"/>
    </row>
    <row r="24" spans="2:31" x14ac:dyDescent="0.2">
      <c r="B24" s="76"/>
      <c r="C24" s="68"/>
      <c r="D24" s="91"/>
      <c r="E24" s="68"/>
      <c r="F24" s="77"/>
      <c r="H24" s="177"/>
      <c r="L24" s="1">
        <v>19</v>
      </c>
      <c r="M24" s="3">
        <v>44927</v>
      </c>
      <c r="N24" s="73">
        <f t="shared" si="2"/>
        <v>933.00109662621026</v>
      </c>
      <c r="O24" s="73">
        <f t="shared" si="0"/>
        <v>38253.044961674575</v>
      </c>
      <c r="Q24" s="109"/>
      <c r="R24" s="109"/>
      <c r="S24" s="109"/>
      <c r="U24" s="1">
        <v>19</v>
      </c>
      <c r="V24" s="3">
        <v>44927</v>
      </c>
      <c r="W24" s="73">
        <f t="shared" si="3"/>
        <v>1000</v>
      </c>
      <c r="X24" s="73">
        <f>Z23*'Lessor Summary by (department)'!$S$9</f>
        <v>130.43934043777926</v>
      </c>
      <c r="Y24" s="73">
        <f>Table8106[[#This Row],[Payment]]-Table8106[[#This Row],[Interest]]</f>
        <v>869.56065956222074</v>
      </c>
      <c r="Z24" s="73">
        <f t="shared" si="1"/>
        <v>38262.241471771551</v>
      </c>
      <c r="AB24" s="109"/>
      <c r="AC24" s="109"/>
      <c r="AD24" s="109"/>
    </row>
    <row r="25" spans="2:31" ht="15.75" customHeight="1" thickBot="1" x14ac:dyDescent="0.25">
      <c r="B25" s="142" t="s">
        <v>104</v>
      </c>
      <c r="C25" s="143"/>
      <c r="D25" s="143"/>
      <c r="E25" s="143"/>
      <c r="F25" s="144"/>
      <c r="H25" s="177"/>
      <c r="L25" s="1">
        <v>20</v>
      </c>
      <c r="M25" s="3">
        <v>44958</v>
      </c>
      <c r="N25" s="73">
        <f t="shared" si="2"/>
        <v>933.00109662621026</v>
      </c>
      <c r="O25" s="73">
        <f t="shared" si="0"/>
        <v>37320.043865048363</v>
      </c>
      <c r="Q25" s="109"/>
      <c r="R25" s="109"/>
      <c r="S25" s="109"/>
      <c r="U25" s="1">
        <v>20</v>
      </c>
      <c r="V25" s="3">
        <v>44958</v>
      </c>
      <c r="W25" s="73">
        <f t="shared" si="3"/>
        <v>1000</v>
      </c>
      <c r="X25" s="73">
        <f>Z24*'Lessor Summary by (department)'!$S$9</f>
        <v>127.54080490590518</v>
      </c>
      <c r="Y25" s="73">
        <f>Table8106[[#This Row],[Payment]]-Table8106[[#This Row],[Interest]]</f>
        <v>872.45919509409487</v>
      </c>
      <c r="Z25" s="73">
        <f t="shared" si="1"/>
        <v>37389.782276677455</v>
      </c>
      <c r="AB25" s="109"/>
      <c r="AC25" s="109"/>
      <c r="AD25" s="109"/>
      <c r="AE25" s="109"/>
    </row>
    <row r="26" spans="2:31" ht="15" thickBot="1" x14ac:dyDescent="0.25">
      <c r="B26" s="124" t="s">
        <v>81</v>
      </c>
      <c r="C26" s="124"/>
      <c r="D26" s="124"/>
      <c r="E26" s="124"/>
      <c r="F26" s="124"/>
      <c r="H26" s="177"/>
      <c r="L26" s="1">
        <v>21</v>
      </c>
      <c r="M26" s="3">
        <v>44986</v>
      </c>
      <c r="N26" s="73">
        <f t="shared" si="2"/>
        <v>933.00109662621026</v>
      </c>
      <c r="O26" s="73">
        <f t="shared" si="0"/>
        <v>36387.04276842215</v>
      </c>
      <c r="Q26" s="109"/>
      <c r="R26" s="109"/>
      <c r="S26" s="109"/>
      <c r="U26" s="1">
        <v>21</v>
      </c>
      <c r="V26" s="3">
        <v>44986</v>
      </c>
      <c r="W26" s="73">
        <f t="shared" si="3"/>
        <v>1000</v>
      </c>
      <c r="X26" s="73">
        <f>Z25*'Lessor Summary by (department)'!$S$9</f>
        <v>124.63260758892486</v>
      </c>
      <c r="Y26" s="73">
        <f>Table8106[[#This Row],[Payment]]-Table8106[[#This Row],[Interest]]</f>
        <v>875.36739241107512</v>
      </c>
      <c r="Z26" s="73">
        <f t="shared" si="1"/>
        <v>36514.414884266378</v>
      </c>
      <c r="AB26" s="109"/>
      <c r="AC26" s="109"/>
      <c r="AD26" s="109"/>
      <c r="AE26" s="109"/>
    </row>
    <row r="27" spans="2:31" ht="15" x14ac:dyDescent="0.25">
      <c r="B27" s="96" t="s">
        <v>93</v>
      </c>
      <c r="C27" s="133" t="s">
        <v>42</v>
      </c>
      <c r="D27" s="93"/>
      <c r="E27" s="133" t="s">
        <v>43</v>
      </c>
      <c r="F27" s="75"/>
      <c r="H27" s="177"/>
      <c r="L27" s="1">
        <v>22</v>
      </c>
      <c r="M27" s="3">
        <v>45017</v>
      </c>
      <c r="N27" s="73">
        <f t="shared" si="2"/>
        <v>933.00109662621026</v>
      </c>
      <c r="O27" s="73">
        <f t="shared" si="0"/>
        <v>35454.041671795938</v>
      </c>
      <c r="Q27" s="113"/>
      <c r="R27" s="111"/>
      <c r="S27" s="111"/>
      <c r="U27" s="1">
        <v>22</v>
      </c>
      <c r="V27" s="3">
        <v>45017</v>
      </c>
      <c r="W27" s="73">
        <f t="shared" si="3"/>
        <v>1000</v>
      </c>
      <c r="X27" s="73">
        <f>Z26*'Lessor Summary by (department)'!$S$9</f>
        <v>121.71471628088794</v>
      </c>
      <c r="Y27" s="73">
        <f>Table8106[[#This Row],[Payment]]-Table8106[[#This Row],[Interest]]</f>
        <v>878.28528371911204</v>
      </c>
      <c r="Z27" s="73">
        <f t="shared" si="1"/>
        <v>35636.129600547269</v>
      </c>
      <c r="AB27" s="113"/>
      <c r="AC27" s="113"/>
      <c r="AD27" s="111"/>
      <c r="AE27" s="109"/>
    </row>
    <row r="28" spans="2:31" ht="15" x14ac:dyDescent="0.25">
      <c r="B28" s="76"/>
      <c r="C28" s="83"/>
      <c r="D28" s="91"/>
      <c r="E28" s="83"/>
      <c r="F28" s="77"/>
      <c r="H28" s="177"/>
      <c r="L28" s="1">
        <v>23</v>
      </c>
      <c r="M28" s="3">
        <v>45047</v>
      </c>
      <c r="N28" s="73">
        <f t="shared" si="2"/>
        <v>933.00109662621026</v>
      </c>
      <c r="O28" s="73">
        <f t="shared" si="0"/>
        <v>34521.040575169725</v>
      </c>
      <c r="Q28" s="113"/>
      <c r="R28" s="180"/>
      <c r="S28" s="180"/>
      <c r="T28" s="110"/>
      <c r="U28" s="1">
        <v>23</v>
      </c>
      <c r="V28" s="3">
        <v>45047</v>
      </c>
      <c r="W28" s="73">
        <f t="shared" si="3"/>
        <v>1000</v>
      </c>
      <c r="X28" s="73">
        <f>Z27*'Lessor Summary by (department)'!$S$9</f>
        <v>118.7870986684909</v>
      </c>
      <c r="Y28" s="73">
        <f>Table8106[[#This Row],[Payment]]-Table8106[[#This Row],[Interest]]</f>
        <v>881.2129013315091</v>
      </c>
      <c r="Z28" s="73">
        <f t="shared" si="1"/>
        <v>34754.916699215762</v>
      </c>
      <c r="AB28" s="113"/>
      <c r="AC28" s="180"/>
      <c r="AD28" s="180"/>
      <c r="AE28" s="109"/>
    </row>
    <row r="29" spans="2:31" x14ac:dyDescent="0.2">
      <c r="B29" s="99" t="s">
        <v>70</v>
      </c>
      <c r="C29" s="97">
        <f>AB17</f>
        <v>12000</v>
      </c>
      <c r="D29" s="98"/>
      <c r="E29" s="25"/>
      <c r="F29" s="77" t="s">
        <v>80</v>
      </c>
      <c r="H29" s="177"/>
      <c r="L29" s="1">
        <v>24</v>
      </c>
      <c r="M29" s="3">
        <v>45078</v>
      </c>
      <c r="N29" s="73">
        <f t="shared" si="2"/>
        <v>933.00109662621026</v>
      </c>
      <c r="O29" s="73">
        <f t="shared" si="0"/>
        <v>33588.039478543513</v>
      </c>
      <c r="Q29" s="109"/>
      <c r="R29" s="109"/>
      <c r="S29" s="109"/>
      <c r="U29" s="1">
        <v>24</v>
      </c>
      <c r="V29" s="3">
        <v>45078</v>
      </c>
      <c r="W29" s="73">
        <f t="shared" si="3"/>
        <v>1000</v>
      </c>
      <c r="X29" s="73">
        <f>Z28*'Lessor Summary by (department)'!$S$9</f>
        <v>115.84972233071922</v>
      </c>
      <c r="Y29" s="73">
        <f>Table8106[[#This Row],[Payment]]-Table8106[[#This Row],[Interest]]</f>
        <v>884.15027766928074</v>
      </c>
      <c r="Z29" s="73">
        <f t="shared" si="1"/>
        <v>33870.766421546483</v>
      </c>
      <c r="AB29" s="109"/>
      <c r="AC29" s="109"/>
      <c r="AD29" s="109"/>
      <c r="AE29" s="109"/>
    </row>
    <row r="30" spans="2:31" x14ac:dyDescent="0.2">
      <c r="B30" s="99" t="s">
        <v>96</v>
      </c>
      <c r="C30" s="97"/>
      <c r="D30" s="98"/>
      <c r="E30" s="97">
        <f>AC17</f>
        <v>1808.7680738699453</v>
      </c>
      <c r="F30" s="77" t="s">
        <v>97</v>
      </c>
      <c r="H30" s="177"/>
      <c r="L30" s="1">
        <v>25</v>
      </c>
      <c r="M30" s="3">
        <v>45108</v>
      </c>
      <c r="N30" s="73">
        <f t="shared" si="2"/>
        <v>933.00109662621026</v>
      </c>
      <c r="O30" s="73">
        <f t="shared" si="0"/>
        <v>32655.038381917304</v>
      </c>
      <c r="Q30" s="109"/>
      <c r="R30" s="109"/>
      <c r="S30" s="109"/>
      <c r="U30" s="1">
        <v>25</v>
      </c>
      <c r="V30" s="3">
        <v>45108</v>
      </c>
      <c r="W30" s="73">
        <f t="shared" si="3"/>
        <v>1000</v>
      </c>
      <c r="X30" s="73">
        <f>Z29*'Lessor Summary by (department)'!$S$9</f>
        <v>112.90255473848828</v>
      </c>
      <c r="Y30" s="73">
        <f>Table8106[[#This Row],[Payment]]-Table8106[[#This Row],[Interest]]</f>
        <v>887.09744526151167</v>
      </c>
      <c r="Z30" s="73">
        <f t="shared" si="1"/>
        <v>32983.668976284971</v>
      </c>
    </row>
    <row r="31" spans="2:31" x14ac:dyDescent="0.2">
      <c r="B31" s="99" t="s">
        <v>67</v>
      </c>
      <c r="C31" s="25"/>
      <c r="D31" s="98"/>
      <c r="E31" s="97">
        <f>AD17</f>
        <v>10191.231926130056</v>
      </c>
      <c r="F31" s="77" t="s">
        <v>79</v>
      </c>
      <c r="H31" s="177"/>
      <c r="L31" s="1">
        <v>26</v>
      </c>
      <c r="M31" s="3">
        <v>45139</v>
      </c>
      <c r="N31" s="73">
        <f t="shared" si="2"/>
        <v>933.00109662621026</v>
      </c>
      <c r="O31" s="73">
        <f t="shared" si="0"/>
        <v>31722.037285291095</v>
      </c>
      <c r="Q31" s="109"/>
      <c r="R31" s="109"/>
      <c r="S31" s="109"/>
      <c r="U31" s="1">
        <v>26</v>
      </c>
      <c r="V31" s="3">
        <v>45139</v>
      </c>
      <c r="W31" s="73">
        <f t="shared" si="3"/>
        <v>1000</v>
      </c>
      <c r="X31" s="73">
        <f>Z30*'Lessor Summary by (department)'!$S$9</f>
        <v>109.94556325428324</v>
      </c>
      <c r="Y31" s="73">
        <f>Table8106[[#This Row],[Payment]]-Table8106[[#This Row],[Interest]]</f>
        <v>890.05443674571677</v>
      </c>
      <c r="Z31" s="73">
        <f t="shared" si="1"/>
        <v>32093.614539539256</v>
      </c>
    </row>
    <row r="32" spans="2:31" x14ac:dyDescent="0.2">
      <c r="B32" s="99"/>
      <c r="C32" s="25"/>
      <c r="D32" s="98"/>
      <c r="E32" s="56"/>
      <c r="F32" s="77"/>
      <c r="H32" s="177"/>
      <c r="L32" s="1">
        <v>27</v>
      </c>
      <c r="M32" s="3">
        <v>45170</v>
      </c>
      <c r="N32" s="73">
        <f t="shared" si="2"/>
        <v>933.00109662621026</v>
      </c>
      <c r="O32" s="73">
        <f t="shared" si="0"/>
        <v>30789.036188664886</v>
      </c>
      <c r="Q32" s="109"/>
      <c r="R32" s="109"/>
      <c r="S32" s="109"/>
      <c r="U32" s="1">
        <v>27</v>
      </c>
      <c r="V32" s="3">
        <v>45170</v>
      </c>
      <c r="W32" s="73">
        <f t="shared" si="3"/>
        <v>1000</v>
      </c>
      <c r="X32" s="73">
        <f>Z31*'Lessor Summary by (department)'!$S$9</f>
        <v>106.97871513179753</v>
      </c>
      <c r="Y32" s="73">
        <f>Table8106[[#This Row],[Payment]]-Table8106[[#This Row],[Interest]]</f>
        <v>893.02128486820243</v>
      </c>
      <c r="Z32" s="73">
        <f t="shared" si="1"/>
        <v>31200.593254671054</v>
      </c>
    </row>
    <row r="33" spans="2:30" ht="15" x14ac:dyDescent="0.25">
      <c r="B33" s="76"/>
      <c r="C33" s="95">
        <f>SUM(C29:C32)</f>
        <v>12000</v>
      </c>
      <c r="D33" s="91"/>
      <c r="E33" s="95">
        <f>SUM(E29:E32)</f>
        <v>12000.000000000002</v>
      </c>
      <c r="F33" s="77"/>
      <c r="H33" s="177"/>
      <c r="L33" s="1">
        <v>28</v>
      </c>
      <c r="M33" s="3">
        <v>45200</v>
      </c>
      <c r="N33" s="73">
        <f t="shared" si="2"/>
        <v>933.00109662621026</v>
      </c>
      <c r="O33" s="73">
        <f t="shared" si="0"/>
        <v>29856.035092038677</v>
      </c>
      <c r="Q33" s="109"/>
      <c r="R33" s="109"/>
      <c r="S33" s="109"/>
      <c r="U33" s="1">
        <v>28</v>
      </c>
      <c r="V33" s="3">
        <v>45200</v>
      </c>
      <c r="W33" s="73">
        <f t="shared" si="3"/>
        <v>1000</v>
      </c>
      <c r="X33" s="73">
        <f>Z32*'Lessor Summary by (department)'!$S$9</f>
        <v>104.00197751557019</v>
      </c>
      <c r="Y33" s="73">
        <f>Table8106[[#This Row],[Payment]]-Table8106[[#This Row],[Interest]]</f>
        <v>895.99802248442984</v>
      </c>
      <c r="Z33" s="73">
        <f t="shared" si="1"/>
        <v>30304.595232186624</v>
      </c>
    </row>
    <row r="34" spans="2:30" x14ac:dyDescent="0.2">
      <c r="B34" s="76"/>
      <c r="C34" s="68"/>
      <c r="D34" s="91"/>
      <c r="E34" s="68"/>
      <c r="F34" s="77"/>
      <c r="H34" s="177"/>
      <c r="L34" s="1">
        <v>29</v>
      </c>
      <c r="M34" s="3">
        <v>45231</v>
      </c>
      <c r="N34" s="73">
        <f t="shared" si="2"/>
        <v>933.00109662621026</v>
      </c>
      <c r="O34" s="73">
        <f t="shared" si="0"/>
        <v>28923.033995412468</v>
      </c>
      <c r="Q34" s="109"/>
      <c r="R34" s="109"/>
      <c r="S34" s="109"/>
      <c r="U34" s="1">
        <v>29</v>
      </c>
      <c r="V34" s="3">
        <v>45231</v>
      </c>
      <c r="W34" s="73">
        <f t="shared" si="3"/>
        <v>1000</v>
      </c>
      <c r="X34" s="73">
        <f>Z33*'Lessor Summary by (department)'!$S$9</f>
        <v>101.01531744062208</v>
      </c>
      <c r="Y34" s="73">
        <f>Table8106[[#This Row],[Payment]]-Table8106[[#This Row],[Interest]]</f>
        <v>898.98468255937792</v>
      </c>
      <c r="Z34" s="73">
        <f t="shared" si="1"/>
        <v>29405.610549627247</v>
      </c>
    </row>
    <row r="35" spans="2:30" ht="15" thickBot="1" x14ac:dyDescent="0.25">
      <c r="B35" s="128" t="s">
        <v>106</v>
      </c>
      <c r="C35" s="129"/>
      <c r="D35" s="129"/>
      <c r="E35" s="129"/>
      <c r="F35" s="130"/>
      <c r="H35" s="177"/>
      <c r="L35" s="1">
        <v>30</v>
      </c>
      <c r="M35" s="3">
        <v>45261</v>
      </c>
      <c r="N35" s="73">
        <f t="shared" si="2"/>
        <v>933.00109662621026</v>
      </c>
      <c r="O35" s="73">
        <f t="shared" si="0"/>
        <v>27990.032898786259</v>
      </c>
      <c r="Q35" s="109"/>
      <c r="R35" s="109"/>
      <c r="S35" s="109"/>
      <c r="U35" s="1">
        <v>30</v>
      </c>
      <c r="V35" s="3">
        <v>45261</v>
      </c>
      <c r="W35" s="73">
        <f t="shared" si="3"/>
        <v>1000</v>
      </c>
      <c r="X35" s="73">
        <f>Z34*'Lessor Summary by (department)'!$S$9</f>
        <v>98.018701832090827</v>
      </c>
      <c r="Y35" s="73">
        <f>Table8106[[#This Row],[Payment]]-Table8106[[#This Row],[Interest]]</f>
        <v>901.98129816790913</v>
      </c>
      <c r="Z35" s="73">
        <f t="shared" si="1"/>
        <v>28503.629251459337</v>
      </c>
      <c r="AB35" s="109"/>
      <c r="AC35" s="109"/>
      <c r="AD35" s="109"/>
    </row>
    <row r="36" spans="2:30" x14ac:dyDescent="0.2">
      <c r="B36" s="140"/>
      <c r="C36" s="140"/>
      <c r="D36" s="140"/>
      <c r="E36" s="140"/>
      <c r="F36" s="140"/>
      <c r="H36" s="141"/>
      <c r="L36" s="1">
        <v>31</v>
      </c>
      <c r="M36" s="3">
        <v>45292</v>
      </c>
      <c r="N36" s="73">
        <f t="shared" si="2"/>
        <v>933.00109662621026</v>
      </c>
      <c r="O36" s="73">
        <f t="shared" si="0"/>
        <v>27057.031802160051</v>
      </c>
      <c r="Q36" s="109"/>
      <c r="R36" s="109"/>
      <c r="S36" s="109"/>
      <c r="U36" s="1">
        <v>31</v>
      </c>
      <c r="V36" s="3">
        <v>45292</v>
      </c>
      <c r="W36" s="73">
        <f t="shared" si="3"/>
        <v>1000</v>
      </c>
      <c r="X36" s="73">
        <f>Z35*'Lessor Summary by (department)'!$S$9</f>
        <v>95.012097504864457</v>
      </c>
      <c r="Y36" s="73">
        <f>Table8106[[#This Row],[Payment]]-Table8106[[#This Row],[Interest]]</f>
        <v>904.98790249513559</v>
      </c>
      <c r="Z36" s="73">
        <f t="shared" si="1"/>
        <v>27598.6413489642</v>
      </c>
      <c r="AB36" s="109"/>
      <c r="AC36" s="109"/>
      <c r="AD36" s="109"/>
    </row>
    <row r="37" spans="2:30" ht="15" customHeight="1" thickBot="1" x14ac:dyDescent="0.25">
      <c r="B37" s="124" t="s">
        <v>108</v>
      </c>
      <c r="C37" s="124"/>
      <c r="D37" s="124"/>
      <c r="E37" s="124"/>
      <c r="F37" s="124"/>
      <c r="H37" s="177" t="s">
        <v>89</v>
      </c>
      <c r="L37" s="1">
        <v>32</v>
      </c>
      <c r="M37" s="3">
        <v>45323</v>
      </c>
      <c r="N37" s="73">
        <f t="shared" si="2"/>
        <v>933.00109662621026</v>
      </c>
      <c r="O37" s="73">
        <f t="shared" si="0"/>
        <v>26124.030705533842</v>
      </c>
      <c r="Q37" s="109"/>
      <c r="R37" s="109"/>
      <c r="S37" s="109"/>
      <c r="U37" s="1">
        <v>32</v>
      </c>
      <c r="V37" s="3">
        <v>45323</v>
      </c>
      <c r="W37" s="73">
        <f t="shared" si="3"/>
        <v>1000</v>
      </c>
      <c r="X37" s="73">
        <f>Z36*'Lessor Summary by (department)'!$S$9</f>
        <v>91.995471163214006</v>
      </c>
      <c r="Y37" s="73">
        <f>Table8106[[#This Row],[Payment]]-Table8106[[#This Row],[Interest]]</f>
        <v>908.00452883678599</v>
      </c>
      <c r="Z37" s="73">
        <f t="shared" si="1"/>
        <v>26690.636820127413</v>
      </c>
      <c r="AB37" s="109"/>
      <c r="AC37" s="109"/>
      <c r="AD37" s="109"/>
    </row>
    <row r="38" spans="2:30" ht="15" customHeight="1" x14ac:dyDescent="0.25">
      <c r="B38" s="131" t="s">
        <v>109</v>
      </c>
      <c r="C38" s="133" t="s">
        <v>42</v>
      </c>
      <c r="D38" s="93"/>
      <c r="E38" s="133" t="s">
        <v>43</v>
      </c>
      <c r="F38" s="75"/>
      <c r="H38" s="177"/>
      <c r="L38" s="1">
        <v>33</v>
      </c>
      <c r="M38" s="3">
        <v>45352</v>
      </c>
      <c r="N38" s="73">
        <f t="shared" si="2"/>
        <v>933.00109662621026</v>
      </c>
      <c r="O38" s="73">
        <f t="shared" si="0"/>
        <v>25191.029608907633</v>
      </c>
      <c r="Q38" s="109"/>
      <c r="R38" s="109"/>
      <c r="S38" s="109"/>
      <c r="U38" s="1">
        <v>33</v>
      </c>
      <c r="V38" s="3">
        <v>45352</v>
      </c>
      <c r="W38" s="73">
        <f t="shared" si="3"/>
        <v>1000</v>
      </c>
      <c r="X38" s="73">
        <f>Z37*'Lessor Summary by (department)'!$S$9</f>
        <v>88.968789400424711</v>
      </c>
      <c r="Y38" s="73">
        <f>Table8106[[#This Row],[Payment]]-Table8106[[#This Row],[Interest]]</f>
        <v>911.03121059957527</v>
      </c>
      <c r="Z38" s="73">
        <f t="shared" si="1"/>
        <v>25779.605609527836</v>
      </c>
      <c r="AB38" s="109"/>
      <c r="AC38" s="109"/>
      <c r="AD38" s="109"/>
    </row>
    <row r="39" spans="2:30" ht="15" x14ac:dyDescent="0.25">
      <c r="B39" s="132"/>
      <c r="C39" s="83"/>
      <c r="D39" s="91"/>
      <c r="E39" s="83"/>
      <c r="F39" s="77"/>
      <c r="H39" s="177"/>
      <c r="L39" s="1">
        <v>34</v>
      </c>
      <c r="M39" s="3">
        <v>45383</v>
      </c>
      <c r="N39" s="73">
        <f t="shared" si="2"/>
        <v>933.00109662621026</v>
      </c>
      <c r="O39" s="73">
        <f t="shared" si="0"/>
        <v>24258.028512281424</v>
      </c>
      <c r="Q39" s="113"/>
      <c r="R39" s="111"/>
      <c r="S39" s="111"/>
      <c r="T39" s="111"/>
      <c r="U39" s="1">
        <v>34</v>
      </c>
      <c r="V39" s="3">
        <v>45383</v>
      </c>
      <c r="W39" s="73">
        <f t="shared" si="3"/>
        <v>1000</v>
      </c>
      <c r="X39" s="73">
        <f>Z38*'Lessor Summary by (department)'!$S$9</f>
        <v>85.93201869842612</v>
      </c>
      <c r="Y39" s="73">
        <f>Table8106[[#This Row],[Payment]]-Table8106[[#This Row],[Interest]]</f>
        <v>914.06798130157392</v>
      </c>
      <c r="Z39" s="73">
        <f t="shared" si="1"/>
        <v>24865.537628226262</v>
      </c>
      <c r="AB39" s="113"/>
      <c r="AC39" s="113"/>
      <c r="AD39" s="111"/>
    </row>
    <row r="40" spans="2:30" x14ac:dyDescent="0.2">
      <c r="B40" s="99" t="s">
        <v>89</v>
      </c>
      <c r="C40" s="97">
        <f>Q17</f>
        <v>11196.013159514527</v>
      </c>
      <c r="D40" s="98"/>
      <c r="E40" s="25"/>
      <c r="F40" s="77" t="s">
        <v>119</v>
      </c>
      <c r="H40" s="177"/>
      <c r="L40" s="1">
        <v>35</v>
      </c>
      <c r="M40" s="3">
        <v>45413</v>
      </c>
      <c r="N40" s="73">
        <f t="shared" si="2"/>
        <v>933.00109662621026</v>
      </c>
      <c r="O40" s="73">
        <f t="shared" si="0"/>
        <v>23325.027415655215</v>
      </c>
      <c r="Q40" s="109"/>
      <c r="R40" s="109"/>
      <c r="S40" s="109"/>
      <c r="U40" s="1">
        <v>35</v>
      </c>
      <c r="V40" s="3">
        <v>45413</v>
      </c>
      <c r="W40" s="73">
        <f t="shared" si="3"/>
        <v>1000</v>
      </c>
      <c r="X40" s="73">
        <f>Z39*'Lessor Summary by (department)'!$S$9</f>
        <v>82.885125427420874</v>
      </c>
      <c r="Y40" s="73">
        <f>Table8106[[#This Row],[Payment]]-Table8106[[#This Row],[Interest]]</f>
        <v>917.11487457257908</v>
      </c>
      <c r="Z40" s="73">
        <f t="shared" si="1"/>
        <v>23948.422753653682</v>
      </c>
      <c r="AB40" s="109"/>
      <c r="AC40" s="109"/>
      <c r="AD40" s="109"/>
    </row>
    <row r="41" spans="2:30" x14ac:dyDescent="0.2">
      <c r="B41" s="138" t="s">
        <v>68</v>
      </c>
      <c r="C41" s="25"/>
      <c r="D41" s="98"/>
      <c r="E41" s="97">
        <f>C40</f>
        <v>11196.013159514527</v>
      </c>
      <c r="F41" s="77" t="s">
        <v>119</v>
      </c>
      <c r="H41" s="177"/>
      <c r="L41" s="1">
        <v>36</v>
      </c>
      <c r="M41" s="3">
        <v>45444</v>
      </c>
      <c r="N41" s="73">
        <f t="shared" si="2"/>
        <v>933.00109662621026</v>
      </c>
      <c r="O41" s="73">
        <f t="shared" si="0"/>
        <v>22392.026319029006</v>
      </c>
      <c r="Q41" s="109"/>
      <c r="R41" s="109"/>
      <c r="S41" s="109"/>
      <c r="U41" s="1">
        <v>36</v>
      </c>
      <c r="V41" s="3">
        <v>45444</v>
      </c>
      <c r="W41" s="73">
        <f t="shared" si="3"/>
        <v>1000</v>
      </c>
      <c r="X41" s="73">
        <f>Z40*'Lessor Summary by (department)'!$S$9</f>
        <v>79.828075845512274</v>
      </c>
      <c r="Y41" s="73">
        <f>Table8106[[#This Row],[Payment]]-Table8106[[#This Row],[Interest]]</f>
        <v>920.17192415448767</v>
      </c>
      <c r="Z41" s="73">
        <f t="shared" si="1"/>
        <v>23028.250829499193</v>
      </c>
      <c r="AB41" s="109"/>
      <c r="AC41" s="109"/>
      <c r="AD41" s="109"/>
    </row>
    <row r="42" spans="2:30" x14ac:dyDescent="0.2">
      <c r="B42" s="99"/>
      <c r="C42" s="25"/>
      <c r="D42" s="98"/>
      <c r="E42" s="97"/>
      <c r="F42" s="77"/>
      <c r="H42" s="177"/>
      <c r="L42" s="1">
        <v>37</v>
      </c>
      <c r="M42" s="3">
        <v>45474</v>
      </c>
      <c r="N42" s="73">
        <f t="shared" si="2"/>
        <v>933.00109662621026</v>
      </c>
      <c r="O42" s="73">
        <f t="shared" si="0"/>
        <v>21459.025222402797</v>
      </c>
      <c r="Q42" s="109"/>
      <c r="R42" s="109"/>
      <c r="S42" s="109"/>
      <c r="U42" s="1">
        <v>37</v>
      </c>
      <c r="V42" s="3">
        <v>45474</v>
      </c>
      <c r="W42" s="73">
        <f t="shared" si="3"/>
        <v>1000</v>
      </c>
      <c r="X42" s="73">
        <f>Z41*'Lessor Summary by (department)'!$S$9</f>
        <v>76.760836098330643</v>
      </c>
      <c r="Y42" s="73">
        <f>Table8106[[#This Row],[Payment]]-Table8106[[#This Row],[Interest]]</f>
        <v>923.23916390166937</v>
      </c>
      <c r="Z42" s="73">
        <f t="shared" si="1"/>
        <v>22105.011665597525</v>
      </c>
      <c r="AB42" s="109"/>
      <c r="AC42" s="109"/>
      <c r="AD42" s="109"/>
    </row>
    <row r="43" spans="2:30" x14ac:dyDescent="0.2">
      <c r="B43" s="99"/>
      <c r="C43" s="25"/>
      <c r="D43" s="98"/>
      <c r="E43" s="56"/>
      <c r="F43" s="77"/>
      <c r="H43" s="177"/>
      <c r="L43" s="1">
        <v>38</v>
      </c>
      <c r="M43" s="3">
        <v>45505</v>
      </c>
      <c r="N43" s="73">
        <f t="shared" si="2"/>
        <v>933.00109662621026</v>
      </c>
      <c r="O43" s="73">
        <f t="shared" si="0"/>
        <v>20526.024125776588</v>
      </c>
      <c r="Q43" s="109"/>
      <c r="R43" s="109"/>
      <c r="S43" s="109"/>
      <c r="U43" s="1">
        <v>38</v>
      </c>
      <c r="V43" s="3">
        <v>45505</v>
      </c>
      <c r="W43" s="73">
        <f t="shared" si="3"/>
        <v>1000</v>
      </c>
      <c r="X43" s="73">
        <f>Z42*'Lessor Summary by (department)'!$S$9</f>
        <v>73.68337221865842</v>
      </c>
      <c r="Y43" s="73">
        <f>Table8106[[#This Row],[Payment]]-Table8106[[#This Row],[Interest]]</f>
        <v>926.31662778134159</v>
      </c>
      <c r="Z43" s="73">
        <f t="shared" si="1"/>
        <v>21178.695037816186</v>
      </c>
      <c r="AB43" s="109"/>
      <c r="AC43" s="109"/>
      <c r="AD43" s="109"/>
    </row>
    <row r="44" spans="2:30" ht="15" x14ac:dyDescent="0.25">
      <c r="B44" s="76"/>
      <c r="C44" s="95">
        <f>SUM(C40:C43)</f>
        <v>11196.013159514527</v>
      </c>
      <c r="D44" s="91"/>
      <c r="E44" s="95">
        <f>SUM(E40:E43)</f>
        <v>11196.013159514527</v>
      </c>
      <c r="F44" s="77"/>
      <c r="H44" s="177"/>
      <c r="L44" s="1">
        <v>39</v>
      </c>
      <c r="M44" s="3">
        <v>45536</v>
      </c>
      <c r="N44" s="73">
        <f t="shared" si="2"/>
        <v>933.00109662621026</v>
      </c>
      <c r="O44" s="73">
        <f t="shared" si="0"/>
        <v>19593.023029150379</v>
      </c>
      <c r="Q44" s="109"/>
      <c r="R44" s="109"/>
      <c r="S44" s="109"/>
      <c r="U44" s="1">
        <v>39</v>
      </c>
      <c r="V44" s="3">
        <v>45536</v>
      </c>
      <c r="W44" s="73">
        <f t="shared" si="3"/>
        <v>1000</v>
      </c>
      <c r="X44" s="73">
        <f>Z43*'Lessor Summary by (department)'!$S$9</f>
        <v>70.595650126053954</v>
      </c>
      <c r="Y44" s="73">
        <f>Table8106[[#This Row],[Payment]]-Table8106[[#This Row],[Interest]]</f>
        <v>929.4043498739461</v>
      </c>
      <c r="Z44" s="73">
        <f t="shared" si="1"/>
        <v>20249.290687942241</v>
      </c>
      <c r="AB44" s="109"/>
      <c r="AC44" s="109"/>
      <c r="AD44" s="109"/>
    </row>
    <row r="45" spans="2:30" x14ac:dyDescent="0.2">
      <c r="B45" s="76"/>
      <c r="C45" s="68"/>
      <c r="D45" s="91"/>
      <c r="E45" s="68"/>
      <c r="F45" s="77"/>
      <c r="H45" s="177"/>
      <c r="L45" s="1">
        <v>40</v>
      </c>
      <c r="M45" s="3">
        <v>45566</v>
      </c>
      <c r="N45" s="73">
        <f t="shared" si="2"/>
        <v>933.00109662621026</v>
      </c>
      <c r="O45" s="73">
        <f t="shared" si="0"/>
        <v>18660.021932524171</v>
      </c>
      <c r="Q45" s="109"/>
      <c r="R45" s="109"/>
      <c r="S45" s="109"/>
      <c r="U45" s="1">
        <v>40</v>
      </c>
      <c r="V45" s="3">
        <v>45566</v>
      </c>
      <c r="W45" s="73">
        <f t="shared" si="3"/>
        <v>1000</v>
      </c>
      <c r="X45" s="73">
        <f>Z44*'Lessor Summary by (department)'!$S$9</f>
        <v>67.497635626474136</v>
      </c>
      <c r="Y45" s="73">
        <f>Table8106[[#This Row],[Payment]]-Table8106[[#This Row],[Interest]]</f>
        <v>932.50236437352589</v>
      </c>
      <c r="Z45" s="73">
        <f t="shared" si="1"/>
        <v>19316.788323568715</v>
      </c>
      <c r="AB45" s="109"/>
      <c r="AC45" s="109"/>
      <c r="AD45" s="109"/>
    </row>
    <row r="46" spans="2:30" ht="15" thickBot="1" x14ac:dyDescent="0.25">
      <c r="B46" s="128" t="s">
        <v>107</v>
      </c>
      <c r="C46" s="129"/>
      <c r="D46" s="129"/>
      <c r="E46" s="129"/>
      <c r="F46" s="130"/>
      <c r="H46" s="177"/>
      <c r="L46" s="1">
        <v>41</v>
      </c>
      <c r="M46" s="3">
        <v>45597</v>
      </c>
      <c r="N46" s="73">
        <f t="shared" si="2"/>
        <v>933.00109662621026</v>
      </c>
      <c r="O46" s="73">
        <f t="shared" si="0"/>
        <v>17727.020835897962</v>
      </c>
      <c r="Q46" s="109"/>
      <c r="R46" s="109"/>
      <c r="S46" s="109"/>
      <c r="U46" s="1">
        <v>41</v>
      </c>
      <c r="V46" s="3">
        <v>45597</v>
      </c>
      <c r="W46" s="73">
        <f t="shared" si="3"/>
        <v>1000</v>
      </c>
      <c r="X46" s="73">
        <f>Z45*'Lessor Summary by (department)'!$S$9</f>
        <v>64.389294411895719</v>
      </c>
      <c r="Y46" s="73">
        <f>Table8106[[#This Row],[Payment]]-Table8106[[#This Row],[Interest]]</f>
        <v>935.61070558810434</v>
      </c>
      <c r="Z46" s="73">
        <f t="shared" si="1"/>
        <v>18381.177617980611</v>
      </c>
      <c r="AB46" s="109"/>
      <c r="AC46" s="109"/>
      <c r="AD46" s="109"/>
    </row>
    <row r="47" spans="2:30" ht="15" thickBot="1" x14ac:dyDescent="0.25">
      <c r="B47" s="124" t="s">
        <v>78</v>
      </c>
      <c r="C47" s="124"/>
      <c r="D47" s="124"/>
      <c r="E47" s="124"/>
      <c r="F47" s="124"/>
      <c r="G47" s="109"/>
      <c r="H47" s="177"/>
      <c r="L47" s="1">
        <v>42</v>
      </c>
      <c r="M47" s="3">
        <v>45627</v>
      </c>
      <c r="N47" s="73">
        <f t="shared" si="2"/>
        <v>933.00109662621026</v>
      </c>
      <c r="O47" s="73">
        <f t="shared" si="0"/>
        <v>16794.019739271753</v>
      </c>
      <c r="Q47" s="109"/>
      <c r="R47" s="109"/>
      <c r="S47" s="109"/>
      <c r="U47" s="1">
        <v>42</v>
      </c>
      <c r="V47" s="3">
        <v>45627</v>
      </c>
      <c r="W47" s="73">
        <f t="shared" si="3"/>
        <v>1000</v>
      </c>
      <c r="X47" s="73">
        <f>Z46*'Lessor Summary by (department)'!$S$9</f>
        <v>61.270592059935375</v>
      </c>
      <c r="Y47" s="73">
        <f>Table8106[[#This Row],[Payment]]-Table8106[[#This Row],[Interest]]</f>
        <v>938.72940794006468</v>
      </c>
      <c r="Z47" s="73">
        <f t="shared" si="1"/>
        <v>17442.448210040548</v>
      </c>
      <c r="AB47" s="109"/>
      <c r="AC47" s="109"/>
      <c r="AD47" s="109"/>
    </row>
    <row r="48" spans="2:30" ht="13.9" customHeight="1" x14ac:dyDescent="0.25">
      <c r="B48" s="131" t="s">
        <v>99</v>
      </c>
      <c r="C48" s="133" t="s">
        <v>42</v>
      </c>
      <c r="D48" s="93"/>
      <c r="E48" s="133" t="s">
        <v>43</v>
      </c>
      <c r="F48" s="75"/>
      <c r="G48" s="109"/>
      <c r="H48" s="177"/>
      <c r="L48" s="1">
        <v>43</v>
      </c>
      <c r="M48" s="3">
        <v>45658</v>
      </c>
      <c r="N48" s="73">
        <f t="shared" si="2"/>
        <v>933.00109662621026</v>
      </c>
      <c r="O48" s="73">
        <f t="shared" si="0"/>
        <v>15861.018642645542</v>
      </c>
      <c r="Q48" s="109"/>
      <c r="R48" s="109"/>
      <c r="S48" s="109"/>
      <c r="U48" s="1">
        <v>43</v>
      </c>
      <c r="V48" s="3">
        <v>45658</v>
      </c>
      <c r="W48" s="73">
        <f t="shared" si="3"/>
        <v>1000</v>
      </c>
      <c r="X48" s="73">
        <f>Z47*'Lessor Summary by (department)'!$S$9</f>
        <v>58.141494033468497</v>
      </c>
      <c r="Y48" s="73">
        <f>Table8106[[#This Row],[Payment]]-Table8106[[#This Row],[Interest]]</f>
        <v>941.85850596653154</v>
      </c>
      <c r="Z48" s="73">
        <f t="shared" si="1"/>
        <v>16500.589704074016</v>
      </c>
      <c r="AB48" s="109"/>
      <c r="AC48" s="109"/>
      <c r="AD48" s="109"/>
    </row>
    <row r="49" spans="2:30" ht="14.45" customHeight="1" x14ac:dyDescent="0.25">
      <c r="B49" s="132"/>
      <c r="C49" s="83"/>
      <c r="D49" s="91"/>
      <c r="E49" s="83"/>
      <c r="F49" s="77"/>
      <c r="H49" s="177"/>
      <c r="L49" s="1">
        <v>44</v>
      </c>
      <c r="M49" s="3">
        <v>45689</v>
      </c>
      <c r="N49" s="73">
        <f t="shared" si="2"/>
        <v>933.00109662621026</v>
      </c>
      <c r="O49" s="73">
        <f t="shared" si="0"/>
        <v>14928.017546019331</v>
      </c>
      <c r="Q49" s="109"/>
      <c r="R49" s="109"/>
      <c r="S49" s="109"/>
      <c r="U49" s="1">
        <v>44</v>
      </c>
      <c r="V49" s="3">
        <v>45689</v>
      </c>
      <c r="W49" s="73">
        <f t="shared" si="3"/>
        <v>1000</v>
      </c>
      <c r="X49" s="73">
        <f>Z48*'Lessor Summary by (department)'!$S$9</f>
        <v>55.001965680246727</v>
      </c>
      <c r="Y49" s="73">
        <f>Table8106[[#This Row],[Payment]]-Table8106[[#This Row],[Interest]]</f>
        <v>944.99803431975329</v>
      </c>
      <c r="Z49" s="73">
        <f t="shared" si="1"/>
        <v>15555.591669754263</v>
      </c>
      <c r="AB49" s="109"/>
      <c r="AC49" s="109"/>
      <c r="AD49" s="109"/>
    </row>
    <row r="50" spans="2:30" x14ac:dyDescent="0.2">
      <c r="B50" s="99" t="s">
        <v>89</v>
      </c>
      <c r="C50" s="97">
        <f>O17</f>
        <v>44784.052638058063</v>
      </c>
      <c r="D50" s="98"/>
      <c r="E50" s="25"/>
      <c r="F50" s="77" t="s">
        <v>118</v>
      </c>
      <c r="H50" s="177"/>
      <c r="L50" s="1">
        <v>45</v>
      </c>
      <c r="M50" s="3">
        <v>45717</v>
      </c>
      <c r="N50" s="73">
        <f t="shared" si="2"/>
        <v>933.00109662621026</v>
      </c>
      <c r="O50" s="73">
        <f t="shared" si="0"/>
        <v>13995.016449393121</v>
      </c>
      <c r="Q50" s="109"/>
      <c r="R50" s="109"/>
      <c r="S50" s="109"/>
      <c r="U50" s="1">
        <v>45</v>
      </c>
      <c r="V50" s="3">
        <v>45717</v>
      </c>
      <c r="W50" s="73">
        <f t="shared" si="3"/>
        <v>1000</v>
      </c>
      <c r="X50" s="73">
        <f>Z49*'Lessor Summary by (department)'!$S$9</f>
        <v>51.851972232514214</v>
      </c>
      <c r="Y50" s="73">
        <f>Table8106[[#This Row],[Payment]]-Table8106[[#This Row],[Interest]]</f>
        <v>948.14802776748581</v>
      </c>
      <c r="Z50" s="73">
        <f t="shared" si="1"/>
        <v>14607.443641986778</v>
      </c>
      <c r="AB50" s="109"/>
      <c r="AC50" s="109"/>
      <c r="AD50" s="109"/>
    </row>
    <row r="51" spans="2:30" ht="15" x14ac:dyDescent="0.25">
      <c r="B51" s="138" t="s">
        <v>68</v>
      </c>
      <c r="C51" s="25"/>
      <c r="D51" s="98"/>
      <c r="E51" s="97">
        <f>C50</f>
        <v>44784.052638058063</v>
      </c>
      <c r="F51" s="77" t="s">
        <v>118</v>
      </c>
      <c r="H51" s="177"/>
      <c r="L51" s="1">
        <v>46</v>
      </c>
      <c r="M51" s="3">
        <v>45748</v>
      </c>
      <c r="N51" s="73">
        <f t="shared" si="2"/>
        <v>933.00109662621026</v>
      </c>
      <c r="O51" s="73">
        <f t="shared" si="0"/>
        <v>13062.01535276691</v>
      </c>
      <c r="Q51" s="113"/>
      <c r="R51" s="111"/>
      <c r="S51" s="111"/>
      <c r="T51" s="111"/>
      <c r="U51" s="1">
        <v>46</v>
      </c>
      <c r="V51" s="3">
        <v>45748</v>
      </c>
      <c r="W51" s="73">
        <f t="shared" si="3"/>
        <v>1000</v>
      </c>
      <c r="X51" s="73">
        <f>Z50*'Lessor Summary by (department)'!$S$9</f>
        <v>48.691478806622598</v>
      </c>
      <c r="Y51" s="73">
        <f>Table8106[[#This Row],[Payment]]-Table8106[[#This Row],[Interest]]</f>
        <v>951.30852119337737</v>
      </c>
      <c r="Z51" s="73">
        <f t="shared" si="1"/>
        <v>13656.1351207934</v>
      </c>
      <c r="AB51" s="113"/>
      <c r="AC51" s="113"/>
      <c r="AD51" s="111"/>
    </row>
    <row r="52" spans="2:30" x14ac:dyDescent="0.2">
      <c r="B52" s="99"/>
      <c r="C52" s="25"/>
      <c r="D52" s="98"/>
      <c r="E52" s="97"/>
      <c r="F52" s="77"/>
      <c r="H52" s="177"/>
      <c r="L52" s="1">
        <v>47</v>
      </c>
      <c r="M52" s="3">
        <v>45778</v>
      </c>
      <c r="N52" s="73">
        <f t="shared" si="2"/>
        <v>933.00109662621026</v>
      </c>
      <c r="O52" s="73">
        <f t="shared" si="0"/>
        <v>12129.014256140699</v>
      </c>
      <c r="Q52" s="109"/>
      <c r="R52" s="109"/>
      <c r="S52" s="109"/>
      <c r="U52" s="1">
        <v>47</v>
      </c>
      <c r="V52" s="3">
        <v>45778</v>
      </c>
      <c r="W52" s="73">
        <f t="shared" si="3"/>
        <v>1000</v>
      </c>
      <c r="X52" s="73">
        <f>Z51*'Lessor Summary by (department)'!$S$9</f>
        <v>45.52045040264467</v>
      </c>
      <c r="Y52" s="73">
        <f>Table8106[[#This Row],[Payment]]-Table8106[[#This Row],[Interest]]</f>
        <v>954.47954959735534</v>
      </c>
      <c r="Z52" s="73">
        <f t="shared" si="1"/>
        <v>12701.655571196045</v>
      </c>
      <c r="AB52" s="109"/>
      <c r="AC52" s="109"/>
      <c r="AD52" s="109"/>
    </row>
    <row r="53" spans="2:30" x14ac:dyDescent="0.2">
      <c r="B53" s="99"/>
      <c r="C53" s="25"/>
      <c r="D53" s="98"/>
      <c r="E53" s="56"/>
      <c r="F53" s="77"/>
      <c r="H53" s="177"/>
      <c r="L53" s="1">
        <v>48</v>
      </c>
      <c r="M53" s="3">
        <v>45809</v>
      </c>
      <c r="N53" s="73">
        <f t="shared" si="2"/>
        <v>933.00109662621026</v>
      </c>
      <c r="O53" s="73">
        <f t="shared" si="0"/>
        <v>11196.013159514489</v>
      </c>
      <c r="Q53" s="109"/>
      <c r="R53" s="109"/>
      <c r="S53" s="109"/>
      <c r="U53" s="1">
        <v>48</v>
      </c>
      <c r="V53" s="3">
        <v>45809</v>
      </c>
      <c r="W53" s="73">
        <f t="shared" si="3"/>
        <v>1000</v>
      </c>
      <c r="X53" s="73">
        <f>Z52*'Lessor Summary by (department)'!$S$9</f>
        <v>42.338851903986821</v>
      </c>
      <c r="Y53" s="73">
        <f>Table8106[[#This Row],[Payment]]-Table8106[[#This Row],[Interest]]</f>
        <v>957.66114809601322</v>
      </c>
      <c r="Z53" s="73">
        <f t="shared" si="1"/>
        <v>11743.994423100032</v>
      </c>
      <c r="AB53" s="109"/>
      <c r="AC53" s="109"/>
      <c r="AD53" s="109"/>
    </row>
    <row r="54" spans="2:30" ht="15" x14ac:dyDescent="0.25">
      <c r="B54" s="76"/>
      <c r="C54" s="95">
        <f>SUM(C50:C53)</f>
        <v>44784.052638058063</v>
      </c>
      <c r="D54" s="91"/>
      <c r="E54" s="95">
        <f>SUM(E50:E53)</f>
        <v>44784.052638058063</v>
      </c>
      <c r="F54" s="77"/>
      <c r="H54" s="177"/>
      <c r="L54" s="1">
        <v>49</v>
      </c>
      <c r="M54" s="3">
        <v>45839</v>
      </c>
      <c r="N54" s="73">
        <f t="shared" si="2"/>
        <v>933.00109662621026</v>
      </c>
      <c r="O54" s="73">
        <f t="shared" si="0"/>
        <v>10263.012062888278</v>
      </c>
      <c r="Q54" s="109"/>
      <c r="R54" s="109"/>
      <c r="S54" s="109"/>
      <c r="U54" s="1">
        <v>49</v>
      </c>
      <c r="V54" s="3">
        <v>45839</v>
      </c>
      <c r="W54" s="73">
        <f t="shared" si="3"/>
        <v>1000</v>
      </c>
      <c r="X54" s="73">
        <f>Z53*'Lessor Summary by (department)'!$S$9</f>
        <v>39.146648077000108</v>
      </c>
      <c r="Y54" s="73">
        <f>Table8106[[#This Row],[Payment]]-Table8106[[#This Row],[Interest]]</f>
        <v>960.85335192299988</v>
      </c>
      <c r="Z54" s="73">
        <f t="shared" si="1"/>
        <v>10783.141071177031</v>
      </c>
      <c r="AB54" s="109"/>
      <c r="AC54" s="109"/>
      <c r="AD54" s="109"/>
    </row>
    <row r="55" spans="2:30" x14ac:dyDescent="0.2">
      <c r="B55" s="76"/>
      <c r="C55" s="68"/>
      <c r="D55" s="91"/>
      <c r="E55" s="68"/>
      <c r="F55" s="77"/>
      <c r="H55" s="177"/>
      <c r="L55" s="1">
        <v>50</v>
      </c>
      <c r="M55" s="3">
        <v>45870</v>
      </c>
      <c r="N55" s="73">
        <f t="shared" si="2"/>
        <v>933.00109662621026</v>
      </c>
      <c r="O55" s="73">
        <f t="shared" si="0"/>
        <v>9330.0109662620671</v>
      </c>
      <c r="Q55" s="109"/>
      <c r="R55" s="109"/>
      <c r="S55" s="109"/>
      <c r="U55" s="1">
        <v>50</v>
      </c>
      <c r="V55" s="3">
        <v>45870</v>
      </c>
      <c r="W55" s="73">
        <f t="shared" si="3"/>
        <v>1000</v>
      </c>
      <c r="X55" s="73">
        <f>Z54*'Lessor Summary by (department)'!$S$9</f>
        <v>35.943803570590106</v>
      </c>
      <c r="Y55" s="73">
        <f>Table8106[[#This Row],[Payment]]-Table8106[[#This Row],[Interest]]</f>
        <v>964.05619642940985</v>
      </c>
      <c r="Z55" s="73">
        <f t="shared" si="1"/>
        <v>9819.0848747476211</v>
      </c>
      <c r="AB55" s="109"/>
      <c r="AC55" s="109"/>
      <c r="AD55" s="109"/>
    </row>
    <row r="56" spans="2:30" ht="15" thickBot="1" x14ac:dyDescent="0.25">
      <c r="B56" s="128" t="s">
        <v>114</v>
      </c>
      <c r="C56" s="129"/>
      <c r="D56" s="129"/>
      <c r="E56" s="129"/>
      <c r="F56" s="130"/>
      <c r="H56" s="177"/>
      <c r="L56" s="1">
        <v>51</v>
      </c>
      <c r="M56" s="3">
        <v>45901</v>
      </c>
      <c r="N56" s="73">
        <f t="shared" si="2"/>
        <v>933.00109662621026</v>
      </c>
      <c r="O56" s="73">
        <f t="shared" si="0"/>
        <v>8397.0098696358564</v>
      </c>
      <c r="Q56" s="109"/>
      <c r="R56" s="109"/>
      <c r="S56" s="109"/>
      <c r="U56" s="1">
        <v>51</v>
      </c>
      <c r="V56" s="3">
        <v>45901</v>
      </c>
      <c r="W56" s="73">
        <f t="shared" si="3"/>
        <v>1000</v>
      </c>
      <c r="X56" s="73">
        <f>Z55*'Lessor Summary by (department)'!$S$9</f>
        <v>32.730282915825406</v>
      </c>
      <c r="Y56" s="73">
        <f>Table8106[[#This Row],[Payment]]-Table8106[[#This Row],[Interest]]</f>
        <v>967.26971708417454</v>
      </c>
      <c r="Z56" s="73">
        <f t="shared" si="1"/>
        <v>8851.8151576634464</v>
      </c>
      <c r="AB56" s="109"/>
      <c r="AC56" s="109"/>
      <c r="AD56" s="109"/>
    </row>
    <row r="57" spans="2:30" x14ac:dyDescent="0.2">
      <c r="B57" s="145"/>
      <c r="C57" s="145"/>
      <c r="D57" s="145"/>
      <c r="E57" s="145"/>
      <c r="F57" s="145"/>
      <c r="G57" s="145"/>
      <c r="H57" s="146"/>
      <c r="L57" s="1">
        <v>52</v>
      </c>
      <c r="M57" s="3">
        <v>45931</v>
      </c>
      <c r="N57" s="73">
        <f t="shared" si="2"/>
        <v>933.00109662621026</v>
      </c>
      <c r="O57" s="73">
        <f t="shared" si="0"/>
        <v>7464.0087730096457</v>
      </c>
      <c r="Q57" s="109"/>
      <c r="R57" s="109"/>
      <c r="S57" s="109"/>
      <c r="U57" s="1">
        <v>52</v>
      </c>
      <c r="V57" s="3">
        <v>45931</v>
      </c>
      <c r="W57" s="73">
        <f t="shared" si="3"/>
        <v>1000</v>
      </c>
      <c r="X57" s="73">
        <f>Z56*'Lessor Summary by (department)'!$S$9</f>
        <v>29.506050525544822</v>
      </c>
      <c r="Y57" s="73">
        <f>Table8106[[#This Row],[Payment]]-Table8106[[#This Row],[Interest]]</f>
        <v>970.49394947445512</v>
      </c>
      <c r="Z57" s="73">
        <f t="shared" si="1"/>
        <v>7881.3212081889915</v>
      </c>
      <c r="AB57" s="109"/>
      <c r="AC57" s="109"/>
      <c r="AD57" s="109"/>
    </row>
    <row r="58" spans="2:30" ht="20.25" thickBot="1" x14ac:dyDescent="0.35">
      <c r="B58" s="176" t="s">
        <v>75</v>
      </c>
      <c r="C58" s="176"/>
      <c r="D58" s="176"/>
      <c r="E58" s="176"/>
      <c r="F58" s="176"/>
      <c r="H58" s="114"/>
      <c r="L58" s="1">
        <v>53</v>
      </c>
      <c r="M58" s="3">
        <v>45962</v>
      </c>
      <c r="N58" s="73">
        <f t="shared" si="2"/>
        <v>933.00109662621026</v>
      </c>
      <c r="O58" s="73">
        <f t="shared" si="0"/>
        <v>6531.007676383435</v>
      </c>
      <c r="Q58" s="109"/>
      <c r="R58" s="109"/>
      <c r="S58" s="109"/>
      <c r="U58" s="1">
        <v>53</v>
      </c>
      <c r="V58" s="3">
        <v>45962</v>
      </c>
      <c r="W58" s="73">
        <f t="shared" si="3"/>
        <v>1000</v>
      </c>
      <c r="X58" s="73">
        <f>Z57*'Lessor Summary by (department)'!$S$9</f>
        <v>26.271070693963306</v>
      </c>
      <c r="Y58" s="73">
        <f>Table8106[[#This Row],[Payment]]-Table8106[[#This Row],[Interest]]</f>
        <v>973.72892930603666</v>
      </c>
      <c r="Z58" s="73">
        <f t="shared" si="1"/>
        <v>6907.5922788829548</v>
      </c>
      <c r="AB58" s="109"/>
      <c r="AC58" s="109"/>
      <c r="AD58" s="109"/>
    </row>
    <row r="59" spans="2:30" ht="15.75" thickTop="1" thickBot="1" x14ac:dyDescent="0.25">
      <c r="H59" s="114"/>
      <c r="L59" s="1">
        <v>54</v>
      </c>
      <c r="M59" s="3">
        <v>45992</v>
      </c>
      <c r="N59" s="73">
        <f t="shared" si="2"/>
        <v>933.00109662621026</v>
      </c>
      <c r="O59" s="73">
        <f t="shared" si="0"/>
        <v>5598.0065797572242</v>
      </c>
      <c r="Q59" s="109"/>
      <c r="R59" s="109"/>
      <c r="S59" s="109"/>
      <c r="U59" s="1">
        <v>54</v>
      </c>
      <c r="V59" s="3">
        <v>45992</v>
      </c>
      <c r="W59" s="73">
        <f t="shared" si="3"/>
        <v>1000</v>
      </c>
      <c r="X59" s="73">
        <f>Z58*'Lessor Summary by (department)'!$S$9</f>
        <v>23.025307596276516</v>
      </c>
      <c r="Y59" s="73">
        <f>Table8106[[#This Row],[Payment]]-Table8106[[#This Row],[Interest]]</f>
        <v>976.97469240372345</v>
      </c>
      <c r="Z59" s="73">
        <f t="shared" si="1"/>
        <v>5930.6175864792312</v>
      </c>
      <c r="AB59" s="109"/>
      <c r="AC59" s="109"/>
      <c r="AD59" s="109"/>
    </row>
    <row r="60" spans="2:30" ht="15" customHeight="1" x14ac:dyDescent="0.25">
      <c r="B60" s="165" t="s">
        <v>105</v>
      </c>
      <c r="C60" s="112" t="s">
        <v>42</v>
      </c>
      <c r="D60" s="93"/>
      <c r="E60" s="112" t="s">
        <v>43</v>
      </c>
      <c r="F60" s="75"/>
      <c r="H60" s="179" t="s">
        <v>67</v>
      </c>
      <c r="L60" s="1">
        <v>55</v>
      </c>
      <c r="M60" s="3">
        <v>46023</v>
      </c>
      <c r="N60" s="73">
        <f t="shared" si="2"/>
        <v>933.00109662621026</v>
      </c>
      <c r="O60" s="73">
        <f t="shared" si="0"/>
        <v>4665.0054831310135</v>
      </c>
      <c r="Q60" s="109"/>
      <c r="R60" s="109"/>
      <c r="S60" s="109"/>
      <c r="U60" s="1">
        <v>55</v>
      </c>
      <c r="V60" s="3">
        <v>46023</v>
      </c>
      <c r="W60" s="73">
        <f t="shared" si="3"/>
        <v>1000</v>
      </c>
      <c r="X60" s="73">
        <f>Z59*'Lessor Summary by (department)'!$S$9</f>
        <v>19.768725288264104</v>
      </c>
      <c r="Y60" s="73">
        <f>Table8106[[#This Row],[Payment]]-Table8106[[#This Row],[Interest]]</f>
        <v>980.23127471173586</v>
      </c>
      <c r="Z60" s="73">
        <f t="shared" si="1"/>
        <v>4950.3863117674955</v>
      </c>
      <c r="AB60" s="109"/>
      <c r="AC60" s="109"/>
      <c r="AD60" s="109"/>
    </row>
    <row r="61" spans="2:30" x14ac:dyDescent="0.2">
      <c r="B61" s="166"/>
      <c r="C61" s="83"/>
      <c r="D61" s="91"/>
      <c r="E61" s="83"/>
      <c r="F61" s="77"/>
      <c r="H61" s="179"/>
      <c r="L61" s="1">
        <v>56</v>
      </c>
      <c r="M61" s="3">
        <v>46054</v>
      </c>
      <c r="N61" s="73">
        <f t="shared" si="2"/>
        <v>933.00109662621026</v>
      </c>
      <c r="O61" s="73">
        <f t="shared" si="0"/>
        <v>3732.0043865048033</v>
      </c>
      <c r="Q61" s="109"/>
      <c r="R61" s="109"/>
      <c r="S61" s="109"/>
      <c r="U61" s="1">
        <v>56</v>
      </c>
      <c r="V61" s="3">
        <v>46054</v>
      </c>
      <c r="W61" s="73">
        <f t="shared" si="3"/>
        <v>1000</v>
      </c>
      <c r="X61" s="73">
        <f>Z60*'Lessor Summary by (department)'!$S$9</f>
        <v>16.501287705891652</v>
      </c>
      <c r="Y61" s="73">
        <f>Table8106[[#This Row],[Payment]]-Table8106[[#This Row],[Interest]]</f>
        <v>983.49871229410837</v>
      </c>
      <c r="Z61" s="73">
        <f t="shared" si="1"/>
        <v>3966.8875994733871</v>
      </c>
      <c r="AB61" s="109"/>
      <c r="AC61" s="109"/>
      <c r="AD61" s="109"/>
    </row>
    <row r="62" spans="2:30" x14ac:dyDescent="0.2">
      <c r="B62" s="99" t="s">
        <v>67</v>
      </c>
      <c r="C62" s="97">
        <f>F9</f>
        <v>54480.065797572614</v>
      </c>
      <c r="D62" s="98"/>
      <c r="E62" s="25"/>
      <c r="F62" s="77" t="s">
        <v>110</v>
      </c>
      <c r="H62" s="179"/>
      <c r="L62" s="1">
        <v>57</v>
      </c>
      <c r="M62" s="3">
        <v>46082</v>
      </c>
      <c r="N62" s="73">
        <f t="shared" si="2"/>
        <v>933.00109662621026</v>
      </c>
      <c r="O62" s="73">
        <f t="shared" si="0"/>
        <v>2799.003289878593</v>
      </c>
      <c r="Q62" s="109"/>
      <c r="R62" s="109"/>
      <c r="S62" s="109"/>
      <c r="U62" s="1">
        <v>57</v>
      </c>
      <c r="V62" s="3">
        <v>46082</v>
      </c>
      <c r="W62" s="73">
        <f t="shared" si="3"/>
        <v>1000</v>
      </c>
      <c r="X62" s="73">
        <f>Z61*'Lessor Summary by (department)'!$S$9</f>
        <v>13.222958664911291</v>
      </c>
      <c r="Y62" s="73">
        <f>Table8106[[#This Row],[Payment]]-Table8106[[#This Row],[Interest]]</f>
        <v>986.77704133508871</v>
      </c>
      <c r="Z62" s="73">
        <f t="shared" si="1"/>
        <v>2980.1105581382985</v>
      </c>
      <c r="AB62" s="109"/>
      <c r="AC62" s="109"/>
      <c r="AD62" s="109"/>
    </row>
    <row r="63" spans="2:30" ht="15" x14ac:dyDescent="0.25">
      <c r="B63" s="99" t="s">
        <v>70</v>
      </c>
      <c r="C63" s="56">
        <f>F10</f>
        <v>1500</v>
      </c>
      <c r="D63" s="98"/>
      <c r="E63" s="97"/>
      <c r="F63" s="77" t="s">
        <v>111</v>
      </c>
      <c r="H63" s="179"/>
      <c r="L63" s="1">
        <v>58</v>
      </c>
      <c r="M63" s="3">
        <v>46113</v>
      </c>
      <c r="N63" s="73">
        <f t="shared" si="2"/>
        <v>933.00109662621026</v>
      </c>
      <c r="O63" s="73">
        <f t="shared" si="0"/>
        <v>1866.0021932523828</v>
      </c>
      <c r="Q63" s="113"/>
      <c r="R63" s="111"/>
      <c r="S63" s="111"/>
      <c r="T63" s="111"/>
      <c r="U63" s="1">
        <v>58</v>
      </c>
      <c r="V63" s="3">
        <v>46113</v>
      </c>
      <c r="W63" s="73">
        <f t="shared" si="3"/>
        <v>1000</v>
      </c>
      <c r="X63" s="73">
        <f>Z62*'Lessor Summary by (department)'!$S$9</f>
        <v>9.9337018604609959</v>
      </c>
      <c r="Y63" s="73">
        <f>Table8106[[#This Row],[Payment]]-Table8106[[#This Row],[Interest]]</f>
        <v>990.06629813953896</v>
      </c>
      <c r="Z63" s="73">
        <f t="shared" si="1"/>
        <v>1990.0442599987596</v>
      </c>
      <c r="AB63" s="113"/>
      <c r="AC63" s="113"/>
      <c r="AD63" s="111"/>
    </row>
    <row r="64" spans="2:30" x14ac:dyDescent="0.2">
      <c r="B64" s="99" t="s">
        <v>68</v>
      </c>
      <c r="C64" s="25"/>
      <c r="D64" s="98"/>
      <c r="E64" s="97">
        <f>F13</f>
        <v>55980.065797572614</v>
      </c>
      <c r="F64" s="77" t="s">
        <v>112</v>
      </c>
      <c r="H64" s="179"/>
      <c r="L64" s="1">
        <v>59</v>
      </c>
      <c r="M64" s="3">
        <v>46143</v>
      </c>
      <c r="N64" s="73">
        <f t="shared" si="2"/>
        <v>933.00109662621026</v>
      </c>
      <c r="O64" s="73">
        <f t="shared" si="0"/>
        <v>933.00109662617251</v>
      </c>
      <c r="Q64" s="109"/>
      <c r="R64" s="109"/>
      <c r="S64" s="109"/>
      <c r="U64" s="1">
        <v>59</v>
      </c>
      <c r="V64" s="3">
        <v>46143</v>
      </c>
      <c r="W64" s="73">
        <f t="shared" si="3"/>
        <v>1000</v>
      </c>
      <c r="X64" s="73">
        <f>Z63*'Lessor Summary by (department)'!$S$9</f>
        <v>6.6334808666625324</v>
      </c>
      <c r="Y64" s="73">
        <f>Table8106[[#This Row],[Payment]]-Table8106[[#This Row],[Interest]]</f>
        <v>993.36651913333742</v>
      </c>
      <c r="Z64" s="73">
        <f t="shared" si="1"/>
        <v>996.67774086542215</v>
      </c>
      <c r="AB64" s="109"/>
      <c r="AC64" s="109"/>
      <c r="AD64" s="109"/>
    </row>
    <row r="65" spans="2:30" ht="15" x14ac:dyDescent="0.25">
      <c r="B65" s="99"/>
      <c r="C65" s="25"/>
      <c r="D65" s="98"/>
      <c r="E65" s="56"/>
      <c r="F65" s="77"/>
      <c r="H65" s="179"/>
      <c r="L65" s="1">
        <v>60</v>
      </c>
      <c r="M65" s="3">
        <v>46174</v>
      </c>
      <c r="N65" s="73">
        <f t="shared" si="2"/>
        <v>933.00109662621026</v>
      </c>
      <c r="O65" s="73">
        <f t="shared" si="0"/>
        <v>-3.7744030123576522E-11</v>
      </c>
      <c r="Q65" s="113"/>
      <c r="R65" s="111"/>
      <c r="S65" s="111"/>
      <c r="T65" s="111"/>
      <c r="U65" s="1">
        <v>60</v>
      </c>
      <c r="V65" s="3">
        <v>46174</v>
      </c>
      <c r="W65" s="73">
        <f>Z64+Table8106[[#This Row],[Interest]]</f>
        <v>1000.0000000016403</v>
      </c>
      <c r="X65" s="73">
        <f>Z64*'Lessor Summary by (department)'!$S$9</f>
        <v>3.322259136218074</v>
      </c>
      <c r="Y65" s="73">
        <f>Table8106[[#This Row],[Payment]]-Table8106[[#This Row],[Interest]]</f>
        <v>996.67774086542215</v>
      </c>
      <c r="Z65" s="73">
        <f t="shared" si="1"/>
        <v>0</v>
      </c>
      <c r="AB65" s="113"/>
      <c r="AC65" s="113"/>
      <c r="AD65" s="111"/>
    </row>
    <row r="66" spans="2:30" ht="15" x14ac:dyDescent="0.25">
      <c r="B66" s="76"/>
      <c r="C66" s="95">
        <f>SUM(C62:C65)</f>
        <v>55980.065797572614</v>
      </c>
      <c r="D66" s="91"/>
      <c r="E66" s="95">
        <f>SUM(E62:E65)</f>
        <v>55980.065797572614</v>
      </c>
      <c r="F66" s="77"/>
      <c r="H66" s="179"/>
      <c r="L66" s="1">
        <v>61</v>
      </c>
      <c r="M66" s="3">
        <v>46204</v>
      </c>
      <c r="U66" s="1">
        <v>61</v>
      </c>
      <c r="V66" s="3">
        <v>46204</v>
      </c>
      <c r="Y66" s="73">
        <f>Table8106[[#This Row],[Payment]]-Table8106[[#This Row],[Interest]]</f>
        <v>0</v>
      </c>
      <c r="AB66" s="109"/>
      <c r="AC66" s="109"/>
      <c r="AD66" s="109"/>
    </row>
    <row r="67" spans="2:30" x14ac:dyDescent="0.2">
      <c r="B67" s="76"/>
      <c r="C67" s="68"/>
      <c r="D67" s="91"/>
      <c r="E67" s="68"/>
      <c r="F67" s="77"/>
      <c r="H67" s="179"/>
      <c r="L67" s="1">
        <v>62</v>
      </c>
      <c r="M67" s="3">
        <v>46235</v>
      </c>
      <c r="U67" s="1">
        <v>62</v>
      </c>
      <c r="V67" s="3">
        <v>46235</v>
      </c>
      <c r="Y67" s="73">
        <f>Table8106[[#This Row],[Payment]]-Table8106[[#This Row],[Interest]]</f>
        <v>0</v>
      </c>
    </row>
    <row r="68" spans="2:30" ht="15" thickBot="1" x14ac:dyDescent="0.25">
      <c r="B68" s="167" t="s">
        <v>113</v>
      </c>
      <c r="C68" s="168"/>
      <c r="D68" s="168"/>
      <c r="E68" s="168"/>
      <c r="F68" s="169"/>
      <c r="H68" s="179"/>
      <c r="L68" s="1">
        <v>63</v>
      </c>
      <c r="M68" s="3">
        <v>46266</v>
      </c>
      <c r="U68" s="1">
        <v>63</v>
      </c>
      <c r="V68" s="3">
        <v>46266</v>
      </c>
      <c r="Y68" s="73">
        <f>Table8106[[#This Row],[Payment]]-Table8106[[#This Row],[Interest]]</f>
        <v>0</v>
      </c>
    </row>
    <row r="69" spans="2:30" ht="15" thickBot="1" x14ac:dyDescent="0.25">
      <c r="H69" s="179"/>
      <c r="L69" s="1">
        <v>64</v>
      </c>
      <c r="M69" s="3">
        <v>46296</v>
      </c>
      <c r="U69" s="1">
        <v>64</v>
      </c>
      <c r="V69" s="3">
        <v>46296</v>
      </c>
      <c r="Y69" s="73">
        <f>Table8106[[#This Row],[Payment]]-Table8106[[#This Row],[Interest]]</f>
        <v>0</v>
      </c>
    </row>
    <row r="70" spans="2:30" ht="15" x14ac:dyDescent="0.25">
      <c r="B70" s="96" t="s">
        <v>115</v>
      </c>
      <c r="C70" s="112" t="s">
        <v>42</v>
      </c>
      <c r="D70" s="93"/>
      <c r="E70" s="112" t="s">
        <v>43</v>
      </c>
      <c r="F70" s="75"/>
      <c r="H70" s="179"/>
      <c r="L70" s="1">
        <v>65</v>
      </c>
      <c r="M70" s="3">
        <v>46327</v>
      </c>
      <c r="U70" s="1">
        <v>65</v>
      </c>
      <c r="V70" s="3">
        <v>46327</v>
      </c>
      <c r="Y70" s="73">
        <f>Table8106[[#This Row],[Payment]]-Table8106[[#This Row],[Interest]]</f>
        <v>0</v>
      </c>
    </row>
    <row r="71" spans="2:30" x14ac:dyDescent="0.2">
      <c r="B71" s="76"/>
      <c r="C71" s="83"/>
      <c r="D71" s="91"/>
      <c r="E71" s="83"/>
      <c r="F71" s="77"/>
      <c r="H71" s="179"/>
      <c r="L71" s="1">
        <v>66</v>
      </c>
      <c r="M71" s="3">
        <v>46357</v>
      </c>
      <c r="U71" s="1">
        <v>66</v>
      </c>
      <c r="V71" s="3">
        <v>46357</v>
      </c>
      <c r="Y71" s="73">
        <f>Table8106[[#This Row],[Payment]]-Table8106[[#This Row],[Interest]]</f>
        <v>0</v>
      </c>
    </row>
    <row r="72" spans="2:30" x14ac:dyDescent="0.2">
      <c r="B72" s="99" t="s">
        <v>70</v>
      </c>
      <c r="C72" s="97">
        <f>AB17</f>
        <v>12000</v>
      </c>
      <c r="D72" s="98"/>
      <c r="E72" s="25"/>
      <c r="F72" s="77" t="s">
        <v>116</v>
      </c>
      <c r="H72" s="179"/>
      <c r="L72" s="1">
        <v>67</v>
      </c>
      <c r="M72" s="3">
        <v>46388</v>
      </c>
      <c r="U72" s="1">
        <v>67</v>
      </c>
      <c r="V72" s="3">
        <v>46388</v>
      </c>
      <c r="Y72" s="73">
        <f>Table8106[[#This Row],[Payment]]-Table8106[[#This Row],[Interest]]</f>
        <v>0</v>
      </c>
    </row>
    <row r="73" spans="2:30" x14ac:dyDescent="0.2">
      <c r="B73" s="99" t="s">
        <v>96</v>
      </c>
      <c r="C73" s="97"/>
      <c r="D73" s="98"/>
      <c r="E73" s="97">
        <f>AC17</f>
        <v>1808.7680738699453</v>
      </c>
      <c r="F73" s="77" t="s">
        <v>82</v>
      </c>
      <c r="H73" s="179"/>
      <c r="L73" s="1">
        <v>68</v>
      </c>
      <c r="M73" s="3">
        <v>46419</v>
      </c>
      <c r="U73" s="1">
        <v>68</v>
      </c>
      <c r="V73" s="3">
        <v>46419</v>
      </c>
      <c r="Y73" s="73">
        <f>Table8106[[#This Row],[Payment]]-Table8106[[#This Row],[Interest]]</f>
        <v>0</v>
      </c>
    </row>
    <row r="74" spans="2:30" x14ac:dyDescent="0.2">
      <c r="B74" s="99" t="s">
        <v>67</v>
      </c>
      <c r="C74" s="25"/>
      <c r="D74" s="98"/>
      <c r="E74" s="97">
        <f>SUM(C72:C73)</f>
        <v>12000</v>
      </c>
      <c r="F74" s="77" t="s">
        <v>63</v>
      </c>
      <c r="H74" s="179"/>
      <c r="L74" s="1">
        <v>69</v>
      </c>
      <c r="M74" s="3">
        <v>46447</v>
      </c>
      <c r="U74" s="1">
        <v>69</v>
      </c>
      <c r="V74" s="3">
        <v>46447</v>
      </c>
      <c r="Y74" s="73">
        <f>Table8106[[#This Row],[Payment]]-Table8106[[#This Row],[Interest]]</f>
        <v>0</v>
      </c>
    </row>
    <row r="75" spans="2:30" x14ac:dyDescent="0.2">
      <c r="B75" s="99"/>
      <c r="C75" s="25"/>
      <c r="D75" s="98"/>
      <c r="E75" s="56"/>
      <c r="F75" s="77"/>
      <c r="H75" s="179"/>
      <c r="L75" s="1">
        <v>70</v>
      </c>
      <c r="M75" s="3">
        <v>46478</v>
      </c>
      <c r="U75" s="1">
        <v>70</v>
      </c>
      <c r="V75" s="3">
        <v>46478</v>
      </c>
      <c r="Y75" s="73">
        <f>Table8106[[#This Row],[Payment]]-Table8106[[#This Row],[Interest]]</f>
        <v>0</v>
      </c>
    </row>
    <row r="76" spans="2:30" ht="15" x14ac:dyDescent="0.25">
      <c r="B76" s="76"/>
      <c r="C76" s="95">
        <f>SUM(C72:C75)</f>
        <v>12000</v>
      </c>
      <c r="D76" s="91"/>
      <c r="E76" s="95">
        <f>SUM(E72:E75)</f>
        <v>13808.768073869946</v>
      </c>
      <c r="F76" s="77"/>
      <c r="H76" s="179"/>
      <c r="L76" s="1">
        <v>71</v>
      </c>
      <c r="M76" s="3">
        <v>46508</v>
      </c>
      <c r="U76" s="1">
        <v>71</v>
      </c>
      <c r="V76" s="3">
        <v>46508</v>
      </c>
      <c r="Y76" s="73">
        <f>Table8106[[#This Row],[Payment]]-Table8106[[#This Row],[Interest]]</f>
        <v>0</v>
      </c>
    </row>
    <row r="77" spans="2:30" x14ac:dyDescent="0.2">
      <c r="B77" s="76"/>
      <c r="C77" s="68"/>
      <c r="D77" s="91"/>
      <c r="E77" s="68"/>
      <c r="F77" s="77"/>
      <c r="H77" s="179"/>
      <c r="L77" s="1">
        <v>72</v>
      </c>
      <c r="M77" s="3">
        <v>46539</v>
      </c>
      <c r="U77" s="1">
        <v>72</v>
      </c>
      <c r="V77" s="3">
        <v>46539</v>
      </c>
      <c r="Y77" s="73">
        <f>Table8106[[#This Row],[Payment]]-Table8106[[#This Row],[Interest]]</f>
        <v>0</v>
      </c>
    </row>
    <row r="78" spans="2:30" ht="15" thickBot="1" x14ac:dyDescent="0.25">
      <c r="B78" s="167" t="s">
        <v>117</v>
      </c>
      <c r="C78" s="168"/>
      <c r="D78" s="168"/>
      <c r="E78" s="168"/>
      <c r="F78" s="169"/>
      <c r="H78" s="179"/>
      <c r="L78" s="1">
        <v>73</v>
      </c>
      <c r="M78" s="3">
        <v>46569</v>
      </c>
      <c r="U78" s="1">
        <v>73</v>
      </c>
      <c r="V78" s="3">
        <v>46569</v>
      </c>
      <c r="Y78" s="73">
        <f>Table8106[[#This Row],[Payment]]-Table8106[[#This Row],[Interest]]</f>
        <v>0</v>
      </c>
    </row>
    <row r="79" spans="2:30" x14ac:dyDescent="0.2">
      <c r="H79" s="148"/>
      <c r="L79" s="1">
        <v>74</v>
      </c>
      <c r="M79" s="3">
        <v>46600</v>
      </c>
      <c r="U79" s="1">
        <v>74</v>
      </c>
      <c r="V79" s="3">
        <v>46600</v>
      </c>
      <c r="Y79" s="73">
        <f>Table8106[[#This Row],[Payment]]-Table8106[[#This Row],[Interest]]</f>
        <v>0</v>
      </c>
    </row>
    <row r="80" spans="2:30" x14ac:dyDescent="0.2">
      <c r="H80" s="148"/>
      <c r="L80" s="1">
        <v>75</v>
      </c>
      <c r="M80" s="3">
        <v>46631</v>
      </c>
      <c r="U80" s="1">
        <v>75</v>
      </c>
      <c r="V80" s="3">
        <v>46631</v>
      </c>
      <c r="Y80" s="73">
        <f>Table8106[[#This Row],[Payment]]-Table8106[[#This Row],[Interest]]</f>
        <v>0</v>
      </c>
    </row>
    <row r="81" spans="8:25" x14ac:dyDescent="0.2">
      <c r="H81" s="148"/>
      <c r="L81" s="1">
        <v>76</v>
      </c>
      <c r="M81" s="3">
        <v>46661</v>
      </c>
      <c r="U81" s="1">
        <v>76</v>
      </c>
      <c r="V81" s="3">
        <v>46661</v>
      </c>
      <c r="Y81" s="73">
        <f>Table8106[[#This Row],[Payment]]-Table8106[[#This Row],[Interest]]</f>
        <v>0</v>
      </c>
    </row>
    <row r="82" spans="8:25" x14ac:dyDescent="0.2">
      <c r="H82" s="148"/>
      <c r="L82" s="1">
        <v>77</v>
      </c>
      <c r="M82" s="3">
        <v>46692</v>
      </c>
      <c r="U82" s="1">
        <v>77</v>
      </c>
      <c r="V82" s="3">
        <v>46692</v>
      </c>
      <c r="Y82" s="73">
        <f>Table8106[[#This Row],[Payment]]-Table8106[[#This Row],[Interest]]</f>
        <v>0</v>
      </c>
    </row>
    <row r="83" spans="8:25" ht="15" customHeight="1" x14ac:dyDescent="0.2">
      <c r="H83" s="148"/>
      <c r="L83" s="1">
        <v>78</v>
      </c>
      <c r="M83" s="3">
        <v>46722</v>
      </c>
      <c r="U83" s="1">
        <v>78</v>
      </c>
      <c r="V83" s="3">
        <v>46722</v>
      </c>
      <c r="Y83" s="73">
        <f>Table8106[[#This Row],[Payment]]-Table8106[[#This Row],[Interest]]</f>
        <v>0</v>
      </c>
    </row>
    <row r="84" spans="8:25" ht="14.25" customHeight="1" x14ac:dyDescent="0.2">
      <c r="H84" s="148"/>
      <c r="L84" s="1">
        <v>79</v>
      </c>
      <c r="M84" s="3">
        <v>46753</v>
      </c>
      <c r="U84" s="1">
        <v>79</v>
      </c>
      <c r="V84" s="3">
        <v>46753</v>
      </c>
      <c r="Y84" s="73">
        <f>Table8106[[#This Row],[Payment]]-Table8106[[#This Row],[Interest]]</f>
        <v>0</v>
      </c>
    </row>
    <row r="85" spans="8:25" ht="15" customHeight="1" x14ac:dyDescent="0.2">
      <c r="H85" s="148"/>
      <c r="L85" s="1">
        <v>80</v>
      </c>
      <c r="M85" s="3">
        <v>46784</v>
      </c>
      <c r="U85" s="1">
        <v>80</v>
      </c>
      <c r="V85" s="3">
        <v>46784</v>
      </c>
      <c r="Y85" s="73">
        <f>Table8106[[#This Row],[Payment]]-Table8106[[#This Row],[Interest]]</f>
        <v>0</v>
      </c>
    </row>
    <row r="86" spans="8:25" ht="14.25" customHeight="1" x14ac:dyDescent="0.2">
      <c r="H86" s="148"/>
      <c r="L86" s="1">
        <v>81</v>
      </c>
      <c r="M86" s="3">
        <v>46813</v>
      </c>
      <c r="U86" s="1">
        <v>81</v>
      </c>
      <c r="V86" s="3">
        <v>46813</v>
      </c>
      <c r="Y86" s="73">
        <f>Table8106[[#This Row],[Payment]]-Table8106[[#This Row],[Interest]]</f>
        <v>0</v>
      </c>
    </row>
    <row r="87" spans="8:25" x14ac:dyDescent="0.2">
      <c r="H87" s="148"/>
      <c r="L87" s="1">
        <v>82</v>
      </c>
      <c r="M87" s="3">
        <v>46844</v>
      </c>
      <c r="U87" s="1">
        <v>82</v>
      </c>
      <c r="V87" s="3">
        <v>46844</v>
      </c>
      <c r="Y87" s="73">
        <f>Table8106[[#This Row],[Payment]]-Table8106[[#This Row],[Interest]]</f>
        <v>0</v>
      </c>
    </row>
    <row r="88" spans="8:25" x14ac:dyDescent="0.2">
      <c r="H88" s="148"/>
      <c r="L88" s="1">
        <v>83</v>
      </c>
      <c r="M88" s="3">
        <v>46874</v>
      </c>
      <c r="U88" s="1">
        <v>83</v>
      </c>
      <c r="V88" s="3">
        <v>46874</v>
      </c>
      <c r="Y88" s="73">
        <f>Table8106[[#This Row],[Payment]]-Table8106[[#This Row],[Interest]]</f>
        <v>0</v>
      </c>
    </row>
    <row r="89" spans="8:25" x14ac:dyDescent="0.2">
      <c r="H89" s="148"/>
      <c r="L89" s="1">
        <v>84</v>
      </c>
      <c r="M89" s="3">
        <v>46905</v>
      </c>
      <c r="U89" s="1">
        <v>84</v>
      </c>
      <c r="V89" s="3">
        <v>46905</v>
      </c>
      <c r="Y89" s="73">
        <f>Table8106[[#This Row],[Payment]]-Table8106[[#This Row],[Interest]]</f>
        <v>0</v>
      </c>
    </row>
    <row r="90" spans="8:25" x14ac:dyDescent="0.2">
      <c r="H90" s="149"/>
      <c r="L90" s="1">
        <v>85</v>
      </c>
      <c r="M90" s="3">
        <v>46935</v>
      </c>
      <c r="U90" s="1">
        <v>85</v>
      </c>
      <c r="V90" s="3">
        <v>46935</v>
      </c>
      <c r="Y90" s="73">
        <f>Table8106[[#This Row],[Payment]]-Table8106[[#This Row],[Interest]]</f>
        <v>0</v>
      </c>
    </row>
    <row r="91" spans="8:25" x14ac:dyDescent="0.2">
      <c r="H91" s="149"/>
      <c r="L91" s="1">
        <v>86</v>
      </c>
      <c r="M91" s="3">
        <v>46966</v>
      </c>
      <c r="U91" s="1">
        <v>86</v>
      </c>
      <c r="V91" s="3">
        <v>46966</v>
      </c>
      <c r="Y91" s="73">
        <f>Table8106[[#This Row],[Payment]]-Table8106[[#This Row],[Interest]]</f>
        <v>0</v>
      </c>
    </row>
    <row r="92" spans="8:25" x14ac:dyDescent="0.2">
      <c r="H92" s="149"/>
      <c r="L92" s="1">
        <v>87</v>
      </c>
      <c r="M92" s="3">
        <v>46997</v>
      </c>
      <c r="U92" s="1">
        <v>87</v>
      </c>
      <c r="V92" s="3">
        <v>46997</v>
      </c>
      <c r="Y92" s="73">
        <f>Table8106[[#This Row],[Payment]]-Table8106[[#This Row],[Interest]]</f>
        <v>0</v>
      </c>
    </row>
    <row r="93" spans="8:25" x14ac:dyDescent="0.2">
      <c r="H93" s="149"/>
      <c r="L93" s="1">
        <v>88</v>
      </c>
      <c r="M93" s="3">
        <v>47027</v>
      </c>
      <c r="U93" s="1">
        <v>88</v>
      </c>
      <c r="V93" s="3">
        <v>47027</v>
      </c>
      <c r="Y93" s="73">
        <f>Table8106[[#This Row],[Payment]]-Table8106[[#This Row],[Interest]]</f>
        <v>0</v>
      </c>
    </row>
    <row r="94" spans="8:25" x14ac:dyDescent="0.2">
      <c r="H94" s="149"/>
      <c r="L94" s="1">
        <v>89</v>
      </c>
      <c r="M94" s="3">
        <v>47058</v>
      </c>
      <c r="U94" s="1">
        <v>89</v>
      </c>
      <c r="V94" s="3">
        <v>47058</v>
      </c>
      <c r="Y94" s="73">
        <f>Table8106[[#This Row],[Payment]]-Table8106[[#This Row],[Interest]]</f>
        <v>0</v>
      </c>
    </row>
    <row r="95" spans="8:25" x14ac:dyDescent="0.2">
      <c r="H95" s="149"/>
      <c r="L95" s="1">
        <v>90</v>
      </c>
      <c r="M95" s="3">
        <v>47088</v>
      </c>
      <c r="U95" s="1">
        <v>90</v>
      </c>
      <c r="V95" s="3">
        <v>47088</v>
      </c>
      <c r="Y95" s="73">
        <f>Table8106[[#This Row],[Payment]]-Table8106[[#This Row],[Interest]]</f>
        <v>0</v>
      </c>
    </row>
    <row r="96" spans="8:25" x14ac:dyDescent="0.2">
      <c r="H96" s="149"/>
      <c r="L96" s="1">
        <v>91</v>
      </c>
      <c r="M96" s="3">
        <v>47119</v>
      </c>
      <c r="U96" s="1">
        <v>91</v>
      </c>
      <c r="V96" s="3">
        <v>47119</v>
      </c>
      <c r="Y96" s="73">
        <f>Table8106[[#This Row],[Payment]]-Table8106[[#This Row],[Interest]]</f>
        <v>0</v>
      </c>
    </row>
    <row r="97" spans="7:25" x14ac:dyDescent="0.2">
      <c r="H97" s="149"/>
      <c r="L97" s="1">
        <v>92</v>
      </c>
      <c r="M97" s="3">
        <v>47150</v>
      </c>
      <c r="U97" s="1">
        <v>92</v>
      </c>
      <c r="V97" s="3">
        <v>47150</v>
      </c>
      <c r="Y97" s="73">
        <f>Table8106[[#This Row],[Payment]]-Table8106[[#This Row],[Interest]]</f>
        <v>0</v>
      </c>
    </row>
    <row r="98" spans="7:25" x14ac:dyDescent="0.2">
      <c r="H98" s="149"/>
      <c r="L98" s="1">
        <v>93</v>
      </c>
      <c r="M98" s="3">
        <v>47178</v>
      </c>
      <c r="U98" s="1">
        <v>93</v>
      </c>
      <c r="V98" s="3">
        <v>47178</v>
      </c>
      <c r="Y98" s="73">
        <f>Table8106[[#This Row],[Payment]]-Table8106[[#This Row],[Interest]]</f>
        <v>0</v>
      </c>
    </row>
    <row r="99" spans="7:25" x14ac:dyDescent="0.2">
      <c r="H99" s="149"/>
      <c r="L99" s="1">
        <v>94</v>
      </c>
      <c r="M99" s="3">
        <v>47209</v>
      </c>
      <c r="U99" s="1">
        <v>94</v>
      </c>
      <c r="V99" s="3">
        <v>47209</v>
      </c>
      <c r="Y99" s="73">
        <f>Table8106[[#This Row],[Payment]]-Table8106[[#This Row],[Interest]]</f>
        <v>0</v>
      </c>
    </row>
    <row r="100" spans="7:25" x14ac:dyDescent="0.2">
      <c r="H100" s="149"/>
      <c r="L100" s="1">
        <v>95</v>
      </c>
      <c r="M100" s="3">
        <v>47239</v>
      </c>
      <c r="U100" s="1">
        <v>95</v>
      </c>
      <c r="V100" s="3">
        <v>47239</v>
      </c>
      <c r="Y100" s="73">
        <f>Table8106[[#This Row],[Payment]]-Table8106[[#This Row],[Interest]]</f>
        <v>0</v>
      </c>
    </row>
    <row r="101" spans="7:25" x14ac:dyDescent="0.2">
      <c r="H101" s="149"/>
      <c r="L101" s="1">
        <v>96</v>
      </c>
      <c r="M101" s="3">
        <v>47270</v>
      </c>
      <c r="U101" s="1">
        <v>96</v>
      </c>
      <c r="V101" s="3">
        <v>47270</v>
      </c>
      <c r="Y101" s="73">
        <f>Table8106[[#This Row],[Payment]]-Table8106[[#This Row],[Interest]]</f>
        <v>0</v>
      </c>
    </row>
    <row r="102" spans="7:25" x14ac:dyDescent="0.2">
      <c r="H102" s="149"/>
      <c r="L102" s="1">
        <v>97</v>
      </c>
      <c r="M102" s="3">
        <v>47300</v>
      </c>
      <c r="U102" s="1">
        <v>97</v>
      </c>
      <c r="V102" s="3">
        <v>47300</v>
      </c>
      <c r="Y102" s="73">
        <f>Table8106[[#This Row],[Payment]]-Table8106[[#This Row],[Interest]]</f>
        <v>0</v>
      </c>
    </row>
    <row r="103" spans="7:25" x14ac:dyDescent="0.2">
      <c r="H103" s="114"/>
      <c r="L103" s="1">
        <v>98</v>
      </c>
      <c r="M103" s="3">
        <v>47331</v>
      </c>
      <c r="U103" s="1">
        <v>98</v>
      </c>
      <c r="V103" s="3">
        <v>47331</v>
      </c>
      <c r="Y103" s="73">
        <f>Table8106[[#This Row],[Payment]]-Table8106[[#This Row],[Interest]]</f>
        <v>0</v>
      </c>
    </row>
    <row r="104" spans="7:25" x14ac:dyDescent="0.2">
      <c r="H104" s="114"/>
      <c r="L104" s="1">
        <v>99</v>
      </c>
      <c r="M104" s="3">
        <v>47362</v>
      </c>
      <c r="U104" s="1">
        <v>99</v>
      </c>
      <c r="V104" s="3">
        <v>47362</v>
      </c>
      <c r="Y104" s="73">
        <f>Table8106[[#This Row],[Payment]]-Table8106[[#This Row],[Interest]]</f>
        <v>0</v>
      </c>
    </row>
    <row r="105" spans="7:25" x14ac:dyDescent="0.2">
      <c r="H105" s="114"/>
      <c r="L105" s="1">
        <v>100</v>
      </c>
      <c r="M105" s="3">
        <v>47392</v>
      </c>
      <c r="U105" s="1">
        <v>100</v>
      </c>
      <c r="V105" s="3">
        <v>47392</v>
      </c>
      <c r="Y105" s="73">
        <f>Table8106[[#This Row],[Payment]]-Table8106[[#This Row],[Interest]]</f>
        <v>0</v>
      </c>
    </row>
    <row r="106" spans="7:25" x14ac:dyDescent="0.2">
      <c r="H106" s="114"/>
    </row>
    <row r="107" spans="7:25" x14ac:dyDescent="0.2">
      <c r="H107" s="114"/>
    </row>
    <row r="108" spans="7:25" x14ac:dyDescent="0.2">
      <c r="H108" s="114"/>
    </row>
    <row r="109" spans="7:25" x14ac:dyDescent="0.2">
      <c r="H109" s="114"/>
    </row>
    <row r="110" spans="7:25" x14ac:dyDescent="0.2">
      <c r="H110" s="114"/>
    </row>
    <row r="111" spans="7:25" x14ac:dyDescent="0.2">
      <c r="G111" s="109"/>
      <c r="H111" s="109"/>
    </row>
    <row r="112" spans="7:25" x14ac:dyDescent="0.2">
      <c r="H112" s="114"/>
    </row>
    <row r="113" spans="8:8" x14ac:dyDescent="0.2">
      <c r="H113" s="114"/>
    </row>
    <row r="114" spans="8:8" x14ac:dyDescent="0.2">
      <c r="H114" s="114"/>
    </row>
    <row r="115" spans="8:8" x14ac:dyDescent="0.2">
      <c r="H115" s="114"/>
    </row>
    <row r="116" spans="8:8" x14ac:dyDescent="0.2">
      <c r="H116" s="114"/>
    </row>
    <row r="117" spans="8:8" x14ac:dyDescent="0.2">
      <c r="H117" s="114"/>
    </row>
    <row r="118" spans="8:8" x14ac:dyDescent="0.2">
      <c r="H118" s="114"/>
    </row>
    <row r="119" spans="8:8" x14ac:dyDescent="0.2">
      <c r="H119" s="114"/>
    </row>
    <row r="120" spans="8:8" x14ac:dyDescent="0.2">
      <c r="H120" s="114"/>
    </row>
    <row r="121" spans="8:8" x14ac:dyDescent="0.2">
      <c r="H121" s="114"/>
    </row>
    <row r="122" spans="8:8" x14ac:dyDescent="0.2">
      <c r="H122" s="114"/>
    </row>
    <row r="123" spans="8:8" x14ac:dyDescent="0.2">
      <c r="H123" s="114"/>
    </row>
    <row r="124" spans="8:8" ht="15" customHeight="1" x14ac:dyDescent="0.2">
      <c r="H124" s="114"/>
    </row>
    <row r="125" spans="8:8" ht="14.25" customHeight="1" x14ac:dyDescent="0.2">
      <c r="H125" s="114"/>
    </row>
    <row r="126" spans="8:8" ht="15" customHeight="1" x14ac:dyDescent="0.2">
      <c r="H126" s="114"/>
    </row>
    <row r="127" spans="8:8" ht="14.25" customHeight="1" x14ac:dyDescent="0.2">
      <c r="H127" s="114"/>
    </row>
    <row r="128" spans="8:8" x14ac:dyDescent="0.2">
      <c r="H128" s="114"/>
    </row>
    <row r="129" spans="8:8" x14ac:dyDescent="0.2">
      <c r="H129" s="114"/>
    </row>
    <row r="130" spans="8:8" x14ac:dyDescent="0.2">
      <c r="H130" s="114"/>
    </row>
    <row r="131" spans="8:8" x14ac:dyDescent="0.2">
      <c r="H131" s="114"/>
    </row>
    <row r="132" spans="8:8" x14ac:dyDescent="0.2">
      <c r="H132" s="114"/>
    </row>
    <row r="133" spans="8:8" x14ac:dyDescent="0.2">
      <c r="H133" s="114"/>
    </row>
    <row r="134" spans="8:8" ht="15" customHeight="1" x14ac:dyDescent="0.2">
      <c r="H134" s="114"/>
    </row>
    <row r="135" spans="8:8" ht="14.25" customHeight="1" x14ac:dyDescent="0.2">
      <c r="H135" s="114"/>
    </row>
    <row r="136" spans="8:8" ht="15" customHeight="1" x14ac:dyDescent="0.2">
      <c r="H136" s="114"/>
    </row>
    <row r="137" spans="8:8" ht="14.25" customHeight="1" x14ac:dyDescent="0.2">
      <c r="H137" s="114"/>
    </row>
    <row r="138" spans="8:8" x14ac:dyDescent="0.2">
      <c r="H138" s="114"/>
    </row>
    <row r="139" spans="8:8" x14ac:dyDescent="0.2">
      <c r="H139" s="114"/>
    </row>
    <row r="140" spans="8:8" x14ac:dyDescent="0.2">
      <c r="H140" s="114"/>
    </row>
    <row r="141" spans="8:8" x14ac:dyDescent="0.2">
      <c r="H141" s="114"/>
    </row>
    <row r="142" spans="8:8" x14ac:dyDescent="0.2">
      <c r="H142" s="114"/>
    </row>
    <row r="143" spans="8:8" x14ac:dyDescent="0.2">
      <c r="H143" s="114"/>
    </row>
    <row r="144" spans="8:8" x14ac:dyDescent="0.2">
      <c r="H144" s="114"/>
    </row>
    <row r="145" spans="8:8" x14ac:dyDescent="0.2">
      <c r="H145" s="114"/>
    </row>
    <row r="146" spans="8:8" x14ac:dyDescent="0.2">
      <c r="H146" s="114"/>
    </row>
    <row r="147" spans="8:8" x14ac:dyDescent="0.2">
      <c r="H147" s="114"/>
    </row>
    <row r="148" spans="8:8" x14ac:dyDescent="0.2">
      <c r="H148" s="114"/>
    </row>
    <row r="149" spans="8:8" x14ac:dyDescent="0.2">
      <c r="H149" s="114"/>
    </row>
    <row r="150" spans="8:8" x14ac:dyDescent="0.2">
      <c r="H150" s="114"/>
    </row>
    <row r="151" spans="8:8" x14ac:dyDescent="0.2">
      <c r="H151" s="114"/>
    </row>
    <row r="152" spans="8:8" x14ac:dyDescent="0.2">
      <c r="H152" s="109"/>
    </row>
  </sheetData>
  <mergeCells count="15">
    <mergeCell ref="AC28:AD28"/>
    <mergeCell ref="R28:S28"/>
    <mergeCell ref="U3:Z3"/>
    <mergeCell ref="B7:C7"/>
    <mergeCell ref="E7:F7"/>
    <mergeCell ref="B15:F15"/>
    <mergeCell ref="B17:B18"/>
    <mergeCell ref="B78:F78"/>
    <mergeCell ref="B58:F58"/>
    <mergeCell ref="B68:F68"/>
    <mergeCell ref="L3:O3"/>
    <mergeCell ref="H15:H35"/>
    <mergeCell ref="H37:H56"/>
    <mergeCell ref="B60:B61"/>
    <mergeCell ref="H60:H78"/>
  </mergeCells>
  <conditionalFormatting sqref="J19">
    <cfRule type="expression" priority="4">
      <formula>$I$3="Y"</formula>
    </cfRule>
  </conditionalFormatting>
  <conditionalFormatting sqref="B15:F15">
    <cfRule type="expression" dxfId="15" priority="3">
      <formula>$I$3="Y"</formula>
    </cfRule>
  </conditionalFormatting>
  <conditionalFormatting sqref="B58:F58">
    <cfRule type="expression" dxfId="14" priority="1">
      <formula>$I$4="Y"</formula>
    </cfRule>
  </conditionalFormatting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Lessor Summary by (department)</vt:lpstr>
      <vt:lpstr>PY Lessee Journal Entry Item #0</vt:lpstr>
      <vt:lpstr>CY NEW Lessee Entries</vt:lpstr>
      <vt:lpstr>'Lessor Summary by (department)'!Print_Titles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Harper</dc:creator>
  <cp:lastModifiedBy>Deborah Harper</cp:lastModifiedBy>
  <cp:lastPrinted>2020-02-28T21:39:01Z</cp:lastPrinted>
  <dcterms:created xsi:type="dcterms:W3CDTF">2020-02-28T15:41:54Z</dcterms:created>
  <dcterms:modified xsi:type="dcterms:W3CDTF">2021-03-30T21:38:19Z</dcterms:modified>
</cp:coreProperties>
</file>